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herrien\Desktop\"/>
    </mc:Choice>
  </mc:AlternateContent>
  <bookViews>
    <workbookView xWindow="0" yWindow="0" windowWidth="20490" windowHeight="7755"/>
  </bookViews>
  <sheets>
    <sheet name="problemes" sheetId="1" r:id="rId1"/>
    <sheet name="Inscription traitees 29 oct" sheetId="2" r:id="rId2"/>
  </sheets>
  <externalReferences>
    <externalReference r:id="rId3"/>
  </externalReferences>
  <definedNames>
    <definedName name="_xlnm._FilterDatabase" localSheetId="1" hidden="1">'Inscription traitees 29 oct'!$A$1:$XFC$1082</definedName>
    <definedName name="Sexe">[1]Feuil2!$A$1:$A$2</definedName>
    <definedName name="_xlnm.Print_Area" localSheetId="1">'Inscription traitees 29 oct'!$B$1:$Q$1068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82" i="2" l="1"/>
  <c r="K1082" i="2"/>
  <c r="I1082" i="2"/>
  <c r="H1082" i="2"/>
  <c r="G1082" i="2"/>
  <c r="F1082" i="2"/>
  <c r="C1082" i="2"/>
  <c r="B1082" i="2"/>
  <c r="M1081" i="2"/>
  <c r="K1081" i="2"/>
  <c r="I1081" i="2"/>
  <c r="H1081" i="2"/>
  <c r="G1081" i="2"/>
  <c r="F1081" i="2"/>
  <c r="E1081" i="2"/>
  <c r="C1081" i="2"/>
  <c r="B1081" i="2"/>
  <c r="M1080" i="2"/>
  <c r="I1080" i="2"/>
  <c r="H1080" i="2"/>
  <c r="G1080" i="2"/>
  <c r="F1080" i="2"/>
  <c r="C1080" i="2"/>
  <c r="B1080" i="2"/>
  <c r="N1079" i="2"/>
  <c r="M1079" i="2"/>
  <c r="I1079" i="2"/>
  <c r="H1079" i="2"/>
  <c r="G1079" i="2"/>
  <c r="F1079" i="2"/>
  <c r="E1079" i="2"/>
  <c r="D1079" i="2"/>
  <c r="C1079" i="2"/>
  <c r="B1079" i="2"/>
  <c r="N1078" i="2"/>
  <c r="M1078" i="2"/>
  <c r="K1078" i="2"/>
  <c r="I1078" i="2"/>
  <c r="H1078" i="2"/>
  <c r="G1078" i="2"/>
  <c r="F1078" i="2"/>
  <c r="E1078" i="2"/>
  <c r="D1078" i="2"/>
  <c r="C1078" i="2"/>
  <c r="B1078" i="2"/>
  <c r="A1078" i="2"/>
  <c r="N1077" i="2"/>
  <c r="M1077" i="2"/>
  <c r="L1077" i="2"/>
  <c r="K1077" i="2"/>
  <c r="I1077" i="2"/>
  <c r="H1077" i="2"/>
  <c r="G1077" i="2"/>
  <c r="F1077" i="2"/>
  <c r="E1077" i="2"/>
  <c r="D1077" i="2"/>
  <c r="C1077" i="2"/>
  <c r="B1077" i="2"/>
  <c r="N1076" i="2"/>
  <c r="M1076" i="2"/>
  <c r="L1076" i="2"/>
  <c r="K1076" i="2"/>
  <c r="I1076" i="2"/>
  <c r="H1076" i="2"/>
  <c r="G1076" i="2"/>
  <c r="F1076" i="2"/>
  <c r="E1076" i="2"/>
  <c r="C1076" i="2"/>
  <c r="B1076" i="2"/>
  <c r="N1075" i="2"/>
  <c r="M1075" i="2"/>
  <c r="K1075" i="2"/>
  <c r="I1075" i="2"/>
  <c r="H1075" i="2"/>
  <c r="G1075" i="2"/>
  <c r="F1075" i="2"/>
  <c r="E1075" i="2"/>
  <c r="D1075" i="2"/>
  <c r="C1075" i="2"/>
  <c r="B1075" i="2"/>
  <c r="N1074" i="2"/>
  <c r="M1074" i="2"/>
  <c r="K1074" i="2"/>
  <c r="I1074" i="2"/>
  <c r="H1074" i="2"/>
  <c r="G1074" i="2"/>
  <c r="F1074" i="2"/>
  <c r="E1074" i="2"/>
  <c r="D1074" i="2"/>
  <c r="C1074" i="2"/>
  <c r="B1074" i="2"/>
  <c r="N1073" i="2"/>
  <c r="M1073" i="2"/>
  <c r="K1073" i="2"/>
  <c r="I1073" i="2"/>
  <c r="H1073" i="2"/>
  <c r="G1073" i="2"/>
  <c r="F1073" i="2"/>
  <c r="E1073" i="2"/>
  <c r="D1073" i="2"/>
  <c r="C1073" i="2"/>
  <c r="B1073" i="2"/>
  <c r="N1072" i="2"/>
  <c r="M1072" i="2"/>
  <c r="K1072" i="2"/>
  <c r="I1072" i="2"/>
  <c r="H1072" i="2"/>
  <c r="G1072" i="2"/>
  <c r="F1072" i="2"/>
  <c r="E1072" i="2"/>
  <c r="D1072" i="2"/>
  <c r="C1072" i="2"/>
  <c r="B1072" i="2"/>
  <c r="N1071" i="2"/>
  <c r="M1071" i="2"/>
  <c r="L1071" i="2"/>
  <c r="K1071" i="2"/>
  <c r="I1071" i="2"/>
  <c r="H1071" i="2"/>
  <c r="G1071" i="2"/>
  <c r="F1071" i="2"/>
  <c r="E1071" i="2"/>
  <c r="D1071" i="2"/>
  <c r="C1071" i="2"/>
  <c r="B1071" i="2"/>
  <c r="N1070" i="2"/>
  <c r="M1070" i="2"/>
  <c r="L1070" i="2"/>
  <c r="K1070" i="2"/>
  <c r="I1070" i="2"/>
  <c r="H1070" i="2"/>
  <c r="G1070" i="2"/>
  <c r="F1070" i="2"/>
  <c r="E1070" i="2"/>
  <c r="D1070" i="2"/>
  <c r="C1070" i="2"/>
  <c r="B1070" i="2"/>
  <c r="N1069" i="2"/>
  <c r="M1069" i="2"/>
  <c r="L1069" i="2"/>
  <c r="K1069" i="2"/>
  <c r="I1069" i="2"/>
  <c r="H1069" i="2"/>
  <c r="G1069" i="2"/>
  <c r="F1069" i="2"/>
  <c r="E1069" i="2"/>
  <c r="D1069" i="2"/>
  <c r="C1069" i="2"/>
  <c r="B1069" i="2"/>
  <c r="N1068" i="2"/>
  <c r="M1068" i="2"/>
  <c r="K1068" i="2"/>
  <c r="I1068" i="2"/>
  <c r="H1068" i="2"/>
  <c r="G1068" i="2"/>
  <c r="F1068" i="2"/>
  <c r="E1068" i="2"/>
  <c r="D1068" i="2"/>
  <c r="C1068" i="2"/>
  <c r="B1068" i="2"/>
  <c r="N1067" i="2"/>
  <c r="M1067" i="2"/>
  <c r="L1067" i="2"/>
  <c r="K1067" i="2"/>
  <c r="I1067" i="2"/>
  <c r="H1067" i="2"/>
  <c r="G1067" i="2"/>
  <c r="F1067" i="2"/>
  <c r="E1067" i="2"/>
  <c r="D1067" i="2"/>
  <c r="C1067" i="2"/>
  <c r="B1067" i="2"/>
  <c r="N1066" i="2"/>
  <c r="M1066" i="2"/>
  <c r="K1066" i="2"/>
  <c r="I1066" i="2"/>
  <c r="H1066" i="2"/>
  <c r="G1066" i="2"/>
  <c r="F1066" i="2"/>
  <c r="E1066" i="2"/>
  <c r="C1066" i="2"/>
  <c r="B1066" i="2"/>
  <c r="N1065" i="2"/>
  <c r="M1065" i="2"/>
  <c r="L1065" i="2"/>
  <c r="K1065" i="2"/>
  <c r="I1065" i="2"/>
  <c r="H1065" i="2"/>
  <c r="G1065" i="2"/>
  <c r="F1065" i="2"/>
  <c r="E1065" i="2"/>
  <c r="D1065" i="2"/>
  <c r="C1065" i="2"/>
  <c r="B1065" i="2"/>
  <c r="N1064" i="2"/>
  <c r="M1064" i="2"/>
  <c r="L1064" i="2"/>
  <c r="K1064" i="2"/>
  <c r="I1064" i="2"/>
  <c r="H1064" i="2"/>
  <c r="G1064" i="2"/>
  <c r="F1064" i="2"/>
  <c r="E1064" i="2"/>
  <c r="D1064" i="2"/>
  <c r="C1064" i="2"/>
  <c r="B1064" i="2"/>
  <c r="A1064" i="2"/>
  <c r="N1063" i="2"/>
  <c r="M1063" i="2"/>
  <c r="L1063" i="2"/>
  <c r="K1063" i="2"/>
  <c r="I1063" i="2"/>
  <c r="H1063" i="2"/>
  <c r="G1063" i="2"/>
  <c r="F1063" i="2"/>
  <c r="E1063" i="2"/>
  <c r="C1063" i="2"/>
  <c r="B1063" i="2"/>
  <c r="A1063" i="2"/>
  <c r="N1062" i="2"/>
  <c r="M1062" i="2"/>
  <c r="K1062" i="2"/>
  <c r="I1062" i="2"/>
  <c r="H1062" i="2"/>
  <c r="G1062" i="2"/>
  <c r="F1062" i="2"/>
  <c r="E1062" i="2"/>
  <c r="D1062" i="2"/>
  <c r="C1062" i="2"/>
  <c r="B1062" i="2"/>
  <c r="N1061" i="2"/>
  <c r="M1061" i="2"/>
  <c r="K1061" i="2"/>
  <c r="I1061" i="2"/>
  <c r="H1061" i="2"/>
  <c r="G1061" i="2"/>
  <c r="F1061" i="2"/>
  <c r="E1061" i="2"/>
  <c r="D1061" i="2"/>
  <c r="C1061" i="2"/>
  <c r="B1061" i="2"/>
  <c r="A1061" i="2"/>
  <c r="N1060" i="2"/>
  <c r="M1060" i="2"/>
  <c r="K1060" i="2"/>
  <c r="I1060" i="2"/>
  <c r="H1060" i="2"/>
  <c r="G1060" i="2"/>
  <c r="F1060" i="2"/>
  <c r="E1060" i="2"/>
  <c r="D1060" i="2"/>
  <c r="C1060" i="2"/>
  <c r="B1060" i="2"/>
  <c r="N1059" i="2"/>
  <c r="M1059" i="2"/>
  <c r="K1059" i="2"/>
  <c r="I1059" i="2"/>
  <c r="H1059" i="2"/>
  <c r="G1059" i="2"/>
  <c r="F1059" i="2"/>
  <c r="E1059" i="2"/>
  <c r="D1059" i="2"/>
  <c r="C1059" i="2"/>
  <c r="B1059" i="2"/>
  <c r="A1059" i="2"/>
  <c r="N1058" i="2"/>
  <c r="M1058" i="2"/>
  <c r="K1058" i="2"/>
  <c r="I1058" i="2"/>
  <c r="H1058" i="2"/>
  <c r="G1058" i="2"/>
  <c r="F1058" i="2"/>
  <c r="E1058" i="2"/>
  <c r="D1058" i="2"/>
  <c r="C1058" i="2"/>
  <c r="B1058" i="2"/>
  <c r="A1058" i="2"/>
  <c r="N1057" i="2"/>
  <c r="K1057" i="2"/>
  <c r="I1057" i="2"/>
  <c r="H1057" i="2"/>
  <c r="G1057" i="2"/>
  <c r="F1057" i="2"/>
  <c r="E1057" i="2"/>
  <c r="D1057" i="2"/>
  <c r="C1057" i="2"/>
  <c r="B1057" i="2"/>
  <c r="A1057" i="2"/>
  <c r="N1056" i="2"/>
  <c r="M1056" i="2"/>
  <c r="L1056" i="2"/>
  <c r="K1056" i="2"/>
  <c r="I1056" i="2"/>
  <c r="H1056" i="2"/>
  <c r="G1056" i="2"/>
  <c r="F1056" i="2"/>
  <c r="E1056" i="2"/>
  <c r="D1056" i="2"/>
  <c r="C1056" i="2"/>
  <c r="B1056" i="2"/>
  <c r="N1055" i="2"/>
  <c r="M1055" i="2"/>
  <c r="L1055" i="2"/>
  <c r="K1055" i="2"/>
  <c r="I1055" i="2"/>
  <c r="H1055" i="2"/>
  <c r="G1055" i="2"/>
  <c r="F1055" i="2"/>
  <c r="E1055" i="2"/>
  <c r="D1055" i="2"/>
  <c r="C1055" i="2"/>
  <c r="B1055" i="2"/>
  <c r="N1054" i="2"/>
  <c r="M1054" i="2"/>
  <c r="L1054" i="2"/>
  <c r="K1054" i="2"/>
  <c r="I1054" i="2"/>
  <c r="H1054" i="2"/>
  <c r="G1054" i="2"/>
  <c r="F1054" i="2"/>
  <c r="E1054" i="2"/>
  <c r="D1054" i="2"/>
  <c r="C1054" i="2"/>
  <c r="B1054" i="2"/>
  <c r="N1053" i="2"/>
  <c r="M1053" i="2"/>
  <c r="L1053" i="2"/>
  <c r="K1053" i="2"/>
  <c r="I1053" i="2"/>
  <c r="H1053" i="2"/>
  <c r="G1053" i="2"/>
  <c r="F1053" i="2"/>
  <c r="E1053" i="2"/>
  <c r="D1053" i="2"/>
  <c r="C1053" i="2"/>
  <c r="B1053" i="2"/>
  <c r="N1052" i="2"/>
  <c r="M1052" i="2"/>
  <c r="K1052" i="2"/>
  <c r="I1052" i="2"/>
  <c r="H1052" i="2"/>
  <c r="G1052" i="2"/>
  <c r="F1052" i="2"/>
  <c r="E1052" i="2"/>
  <c r="D1052" i="2"/>
  <c r="C1052" i="2"/>
  <c r="B1052" i="2"/>
  <c r="N1051" i="2"/>
  <c r="M1051" i="2"/>
  <c r="K1051" i="2"/>
  <c r="I1051" i="2"/>
  <c r="H1051" i="2"/>
  <c r="G1051" i="2"/>
  <c r="F1051" i="2"/>
  <c r="E1051" i="2"/>
  <c r="C1051" i="2"/>
  <c r="B1051" i="2"/>
  <c r="N1050" i="2"/>
  <c r="M1050" i="2"/>
  <c r="K1050" i="2"/>
  <c r="I1050" i="2"/>
  <c r="H1050" i="2"/>
  <c r="G1050" i="2"/>
  <c r="F1050" i="2"/>
  <c r="E1050" i="2"/>
  <c r="D1050" i="2"/>
  <c r="C1050" i="2"/>
  <c r="B1050" i="2"/>
  <c r="A1050" i="2"/>
  <c r="N1049" i="2"/>
  <c r="M1049" i="2"/>
  <c r="K1049" i="2"/>
  <c r="I1049" i="2"/>
  <c r="H1049" i="2"/>
  <c r="G1049" i="2"/>
  <c r="F1049" i="2"/>
  <c r="E1049" i="2"/>
  <c r="D1049" i="2"/>
  <c r="C1049" i="2"/>
  <c r="B1049" i="2"/>
  <c r="A1049" i="2"/>
  <c r="N1048" i="2"/>
  <c r="M1048" i="2"/>
  <c r="L1048" i="2"/>
  <c r="K1048" i="2"/>
  <c r="I1048" i="2"/>
  <c r="H1048" i="2"/>
  <c r="G1048" i="2"/>
  <c r="F1048" i="2"/>
  <c r="E1048" i="2"/>
  <c r="D1048" i="2"/>
  <c r="C1048" i="2"/>
  <c r="B1048" i="2"/>
  <c r="A1048" i="2"/>
  <c r="N1047" i="2"/>
  <c r="M1047" i="2"/>
  <c r="K1047" i="2"/>
  <c r="I1047" i="2"/>
  <c r="H1047" i="2"/>
  <c r="G1047" i="2"/>
  <c r="F1047" i="2"/>
  <c r="E1047" i="2"/>
  <c r="D1047" i="2"/>
  <c r="C1047" i="2"/>
  <c r="B1047" i="2"/>
  <c r="A1047" i="2"/>
  <c r="N1046" i="2"/>
  <c r="M1046" i="2"/>
  <c r="K1046" i="2"/>
  <c r="I1046" i="2"/>
  <c r="H1046" i="2"/>
  <c r="G1046" i="2"/>
  <c r="F1046" i="2"/>
  <c r="E1046" i="2"/>
  <c r="D1046" i="2"/>
  <c r="C1046" i="2"/>
  <c r="B1046" i="2"/>
  <c r="A1046" i="2"/>
  <c r="N1045" i="2"/>
  <c r="M1045" i="2"/>
  <c r="L1045" i="2"/>
  <c r="K1045" i="2"/>
  <c r="I1045" i="2"/>
  <c r="H1045" i="2"/>
  <c r="G1045" i="2"/>
  <c r="F1045" i="2"/>
  <c r="E1045" i="2"/>
  <c r="D1045" i="2"/>
  <c r="C1045" i="2"/>
  <c r="B1045" i="2"/>
  <c r="A1045" i="2"/>
  <c r="N1044" i="2"/>
  <c r="M1044" i="2"/>
  <c r="L1044" i="2"/>
  <c r="K1044" i="2"/>
  <c r="I1044" i="2"/>
  <c r="H1044" i="2"/>
  <c r="G1044" i="2"/>
  <c r="F1044" i="2"/>
  <c r="E1044" i="2"/>
  <c r="D1044" i="2"/>
  <c r="C1044" i="2"/>
  <c r="B1044" i="2"/>
  <c r="A1044" i="2"/>
  <c r="N1043" i="2"/>
  <c r="M1043" i="2"/>
  <c r="K1043" i="2"/>
  <c r="I1043" i="2"/>
  <c r="H1043" i="2"/>
  <c r="G1043" i="2"/>
  <c r="F1043" i="2"/>
  <c r="E1043" i="2"/>
  <c r="D1043" i="2"/>
  <c r="C1043" i="2"/>
  <c r="B1043" i="2"/>
  <c r="A1043" i="2"/>
  <c r="N1042" i="2"/>
  <c r="M1042" i="2"/>
  <c r="K1042" i="2"/>
  <c r="I1042" i="2"/>
  <c r="H1042" i="2"/>
  <c r="G1042" i="2"/>
  <c r="F1042" i="2"/>
  <c r="E1042" i="2"/>
  <c r="C1042" i="2"/>
  <c r="B1042" i="2"/>
  <c r="A1042" i="2"/>
  <c r="N1041" i="2"/>
  <c r="M1041" i="2"/>
  <c r="K1041" i="2"/>
  <c r="I1041" i="2"/>
  <c r="H1041" i="2"/>
  <c r="G1041" i="2"/>
  <c r="F1041" i="2"/>
  <c r="E1041" i="2"/>
  <c r="D1041" i="2"/>
  <c r="C1041" i="2"/>
  <c r="B1041" i="2"/>
  <c r="A1041" i="2"/>
  <c r="N1040" i="2"/>
  <c r="M1040" i="2"/>
  <c r="K1040" i="2"/>
  <c r="I1040" i="2"/>
  <c r="H1040" i="2"/>
  <c r="G1040" i="2"/>
  <c r="F1040" i="2"/>
  <c r="E1040" i="2"/>
  <c r="D1040" i="2"/>
  <c r="C1040" i="2"/>
  <c r="B1040" i="2"/>
  <c r="A1040" i="2"/>
  <c r="N1039" i="2"/>
  <c r="M1039" i="2"/>
  <c r="K1039" i="2"/>
  <c r="I1039" i="2"/>
  <c r="H1039" i="2"/>
  <c r="G1039" i="2"/>
  <c r="F1039" i="2"/>
  <c r="E1039" i="2"/>
  <c r="D1039" i="2"/>
  <c r="C1039" i="2"/>
  <c r="B1039" i="2"/>
  <c r="A1039" i="2"/>
  <c r="N1038" i="2"/>
  <c r="M1038" i="2"/>
  <c r="K1038" i="2"/>
  <c r="I1038" i="2"/>
  <c r="H1038" i="2"/>
  <c r="G1038" i="2"/>
  <c r="F1038" i="2"/>
  <c r="E1038" i="2"/>
  <c r="D1038" i="2"/>
  <c r="C1038" i="2"/>
  <c r="B1038" i="2"/>
  <c r="A1038" i="2"/>
  <c r="N1037" i="2"/>
  <c r="M1037" i="2"/>
  <c r="K1037" i="2"/>
  <c r="I1037" i="2"/>
  <c r="H1037" i="2"/>
  <c r="G1037" i="2"/>
  <c r="F1037" i="2"/>
  <c r="E1037" i="2"/>
  <c r="D1037" i="2"/>
  <c r="C1037" i="2"/>
  <c r="B1037" i="2"/>
  <c r="A1037" i="2"/>
  <c r="N1036" i="2"/>
  <c r="M1036" i="2"/>
  <c r="K1036" i="2"/>
  <c r="I1036" i="2"/>
  <c r="H1036" i="2"/>
  <c r="G1036" i="2"/>
  <c r="F1036" i="2"/>
  <c r="E1036" i="2"/>
  <c r="D1036" i="2"/>
  <c r="C1036" i="2"/>
  <c r="B1036" i="2"/>
  <c r="A1036" i="2"/>
  <c r="N1035" i="2"/>
  <c r="M1035" i="2"/>
  <c r="K1035" i="2"/>
  <c r="I1035" i="2"/>
  <c r="H1035" i="2"/>
  <c r="G1035" i="2"/>
  <c r="F1035" i="2"/>
  <c r="E1035" i="2"/>
  <c r="D1035" i="2"/>
  <c r="C1035" i="2"/>
  <c r="B1035" i="2"/>
  <c r="A1035" i="2"/>
  <c r="N1034" i="2"/>
  <c r="M1034" i="2"/>
  <c r="K1034" i="2"/>
  <c r="I1034" i="2"/>
  <c r="H1034" i="2"/>
  <c r="G1034" i="2"/>
  <c r="F1034" i="2"/>
  <c r="E1034" i="2"/>
  <c r="D1034" i="2"/>
  <c r="C1034" i="2"/>
  <c r="B1034" i="2"/>
  <c r="A1034" i="2"/>
  <c r="N1033" i="2"/>
  <c r="M1033" i="2"/>
  <c r="K1033" i="2"/>
  <c r="I1033" i="2"/>
  <c r="H1033" i="2"/>
  <c r="G1033" i="2"/>
  <c r="F1033" i="2"/>
  <c r="E1033" i="2"/>
  <c r="D1033" i="2"/>
  <c r="C1033" i="2"/>
  <c r="B1033" i="2"/>
  <c r="A1033" i="2"/>
  <c r="N1032" i="2"/>
  <c r="M1032" i="2"/>
  <c r="K1032" i="2"/>
  <c r="I1032" i="2"/>
  <c r="H1032" i="2"/>
  <c r="G1032" i="2"/>
  <c r="F1032" i="2"/>
  <c r="E1032" i="2"/>
  <c r="D1032" i="2"/>
  <c r="C1032" i="2"/>
  <c r="B1032" i="2"/>
  <c r="A1032" i="2"/>
  <c r="N1031" i="2"/>
  <c r="M1031" i="2"/>
  <c r="K1031" i="2"/>
  <c r="I1031" i="2"/>
  <c r="H1031" i="2"/>
  <c r="G1031" i="2"/>
  <c r="F1031" i="2"/>
  <c r="E1031" i="2"/>
  <c r="D1031" i="2"/>
  <c r="C1031" i="2"/>
  <c r="B1031" i="2"/>
  <c r="A1031" i="2"/>
  <c r="N1030" i="2"/>
  <c r="M1030" i="2"/>
  <c r="I1030" i="2"/>
  <c r="H1030" i="2"/>
  <c r="G1030" i="2"/>
  <c r="F1030" i="2"/>
  <c r="E1030" i="2"/>
  <c r="C1030" i="2"/>
  <c r="B1030" i="2"/>
  <c r="N1029" i="2"/>
  <c r="M1029" i="2"/>
  <c r="K1029" i="2"/>
  <c r="I1029" i="2"/>
  <c r="H1029" i="2"/>
  <c r="G1029" i="2"/>
  <c r="F1029" i="2"/>
  <c r="E1029" i="2"/>
  <c r="D1029" i="2"/>
  <c r="C1029" i="2"/>
  <c r="B1029" i="2"/>
  <c r="A1029" i="2"/>
  <c r="N1028" i="2"/>
  <c r="M1028" i="2"/>
  <c r="K1028" i="2"/>
  <c r="I1028" i="2"/>
  <c r="H1028" i="2"/>
  <c r="G1028" i="2"/>
  <c r="F1028" i="2"/>
  <c r="E1028" i="2"/>
  <c r="D1028" i="2"/>
  <c r="C1028" i="2"/>
  <c r="B1028" i="2"/>
  <c r="A1028" i="2"/>
  <c r="N1027" i="2"/>
  <c r="M1027" i="2"/>
  <c r="K1027" i="2"/>
  <c r="I1027" i="2"/>
  <c r="H1027" i="2"/>
  <c r="G1027" i="2"/>
  <c r="F1027" i="2"/>
  <c r="E1027" i="2"/>
  <c r="C1027" i="2"/>
  <c r="B1027" i="2"/>
  <c r="A1027" i="2"/>
  <c r="N1026" i="2"/>
  <c r="M1026" i="2"/>
  <c r="K1026" i="2"/>
  <c r="I1026" i="2"/>
  <c r="H1026" i="2"/>
  <c r="G1026" i="2"/>
  <c r="F1026" i="2"/>
  <c r="E1026" i="2"/>
  <c r="D1026" i="2"/>
  <c r="C1026" i="2"/>
  <c r="B1026" i="2"/>
  <c r="A1026" i="2"/>
  <c r="N1025" i="2"/>
  <c r="M1025" i="2"/>
  <c r="K1025" i="2"/>
  <c r="I1025" i="2"/>
  <c r="H1025" i="2"/>
  <c r="G1025" i="2"/>
  <c r="F1025" i="2"/>
  <c r="E1025" i="2"/>
  <c r="D1025" i="2"/>
  <c r="C1025" i="2"/>
  <c r="B1025" i="2"/>
  <c r="A1025" i="2"/>
  <c r="N1024" i="2"/>
  <c r="M1024" i="2"/>
  <c r="L1024" i="2"/>
  <c r="K1024" i="2"/>
  <c r="I1024" i="2"/>
  <c r="H1024" i="2"/>
  <c r="G1024" i="2"/>
  <c r="F1024" i="2"/>
  <c r="E1024" i="2"/>
  <c r="D1024" i="2"/>
  <c r="C1024" i="2"/>
  <c r="B1024" i="2"/>
  <c r="A1024" i="2"/>
  <c r="A1023" i="2"/>
  <c r="N1022" i="2"/>
  <c r="M1022" i="2"/>
  <c r="K1022" i="2"/>
  <c r="I1022" i="2"/>
  <c r="H1022" i="2"/>
  <c r="G1022" i="2"/>
  <c r="F1022" i="2"/>
  <c r="E1022" i="2"/>
  <c r="D1022" i="2"/>
  <c r="C1022" i="2"/>
  <c r="B1022" i="2"/>
  <c r="A1022" i="2"/>
  <c r="N1021" i="2"/>
  <c r="M1021" i="2"/>
  <c r="K1021" i="2"/>
  <c r="I1021" i="2"/>
  <c r="H1021" i="2"/>
  <c r="G1021" i="2"/>
  <c r="F1021" i="2"/>
  <c r="E1021" i="2"/>
  <c r="C1021" i="2"/>
  <c r="B1021" i="2"/>
  <c r="A1021" i="2"/>
  <c r="N1020" i="2"/>
  <c r="M1020" i="2"/>
  <c r="I1020" i="2"/>
  <c r="H1020" i="2"/>
  <c r="G1020" i="2"/>
  <c r="F1020" i="2"/>
  <c r="E1020" i="2"/>
  <c r="D1020" i="2"/>
  <c r="C1020" i="2"/>
  <c r="B1020" i="2"/>
  <c r="A1020" i="2"/>
  <c r="N1019" i="2"/>
  <c r="M1019" i="2"/>
  <c r="L1019" i="2"/>
  <c r="K1019" i="2"/>
  <c r="I1019" i="2"/>
  <c r="H1019" i="2"/>
  <c r="G1019" i="2"/>
  <c r="F1019" i="2"/>
  <c r="E1019" i="2"/>
  <c r="D1019" i="2"/>
  <c r="C1019" i="2"/>
  <c r="B1019" i="2"/>
  <c r="A1019" i="2"/>
  <c r="N1018" i="2"/>
  <c r="M1018" i="2"/>
  <c r="K1018" i="2"/>
  <c r="I1018" i="2"/>
  <c r="H1018" i="2"/>
  <c r="G1018" i="2"/>
  <c r="F1018" i="2"/>
  <c r="E1018" i="2"/>
  <c r="D1018" i="2"/>
  <c r="C1018" i="2"/>
  <c r="B1018" i="2"/>
  <c r="A1018" i="2"/>
  <c r="N1017" i="2"/>
  <c r="M1017" i="2"/>
  <c r="K1017" i="2"/>
  <c r="I1017" i="2"/>
  <c r="H1017" i="2"/>
  <c r="G1017" i="2"/>
  <c r="F1017" i="2"/>
  <c r="E1017" i="2"/>
  <c r="D1017" i="2"/>
  <c r="C1017" i="2"/>
  <c r="B1017" i="2"/>
  <c r="A1017" i="2"/>
  <c r="N1016" i="2"/>
  <c r="M1016" i="2"/>
  <c r="L1016" i="2"/>
  <c r="K1016" i="2"/>
  <c r="I1016" i="2"/>
  <c r="H1016" i="2"/>
  <c r="G1016" i="2"/>
  <c r="F1016" i="2"/>
  <c r="E1016" i="2"/>
  <c r="D1016" i="2"/>
  <c r="C1016" i="2"/>
  <c r="B1016" i="2"/>
  <c r="A1016" i="2"/>
  <c r="N1015" i="2"/>
  <c r="M1015" i="2"/>
  <c r="K1015" i="2"/>
  <c r="I1015" i="2"/>
  <c r="H1015" i="2"/>
  <c r="G1015" i="2"/>
  <c r="F1015" i="2"/>
  <c r="E1015" i="2"/>
  <c r="D1015" i="2"/>
  <c r="C1015" i="2"/>
  <c r="B1015" i="2"/>
  <c r="A1015" i="2"/>
  <c r="N1014" i="2"/>
  <c r="M1014" i="2"/>
  <c r="K1014" i="2"/>
  <c r="I1014" i="2"/>
  <c r="H1014" i="2"/>
  <c r="G1014" i="2"/>
  <c r="F1014" i="2"/>
  <c r="E1014" i="2"/>
  <c r="D1014" i="2"/>
  <c r="C1014" i="2"/>
  <c r="B1014" i="2"/>
  <c r="A1014" i="2"/>
  <c r="N1013" i="2"/>
  <c r="M1013" i="2"/>
  <c r="K1013" i="2"/>
  <c r="I1013" i="2"/>
  <c r="H1013" i="2"/>
  <c r="G1013" i="2"/>
  <c r="F1013" i="2"/>
  <c r="E1013" i="2"/>
  <c r="C1013" i="2"/>
  <c r="B1013" i="2"/>
  <c r="A1013" i="2"/>
  <c r="N1012" i="2"/>
  <c r="M1012" i="2"/>
  <c r="K1012" i="2"/>
  <c r="I1012" i="2"/>
  <c r="H1012" i="2"/>
  <c r="G1012" i="2"/>
  <c r="F1012" i="2"/>
  <c r="E1012" i="2"/>
  <c r="D1012" i="2"/>
  <c r="C1012" i="2"/>
  <c r="B1012" i="2"/>
  <c r="A1012" i="2"/>
  <c r="N1011" i="2"/>
  <c r="M1011" i="2"/>
  <c r="L1011" i="2"/>
  <c r="K1011" i="2"/>
  <c r="I1011" i="2"/>
  <c r="H1011" i="2"/>
  <c r="G1011" i="2"/>
  <c r="F1011" i="2"/>
  <c r="E1011" i="2"/>
  <c r="C1011" i="2"/>
  <c r="B1011" i="2"/>
  <c r="A1011" i="2"/>
  <c r="N1010" i="2"/>
  <c r="M1010" i="2"/>
  <c r="K1010" i="2"/>
  <c r="I1010" i="2"/>
  <c r="H1010" i="2"/>
  <c r="G1010" i="2"/>
  <c r="F1010" i="2"/>
  <c r="E1010" i="2"/>
  <c r="D1010" i="2"/>
  <c r="C1010" i="2"/>
  <c r="B1010" i="2"/>
  <c r="A1010" i="2"/>
  <c r="N1009" i="2"/>
  <c r="M1009" i="2"/>
  <c r="L1009" i="2"/>
  <c r="K1009" i="2"/>
  <c r="I1009" i="2"/>
  <c r="H1009" i="2"/>
  <c r="G1009" i="2"/>
  <c r="F1009" i="2"/>
  <c r="E1009" i="2"/>
  <c r="D1009" i="2"/>
  <c r="C1009" i="2"/>
  <c r="B1009" i="2"/>
  <c r="A1009" i="2"/>
  <c r="N1008" i="2"/>
  <c r="M1008" i="2"/>
  <c r="L1008" i="2"/>
  <c r="K1008" i="2"/>
  <c r="I1008" i="2"/>
  <c r="H1008" i="2"/>
  <c r="G1008" i="2"/>
  <c r="F1008" i="2"/>
  <c r="E1008" i="2"/>
  <c r="D1008" i="2"/>
  <c r="C1008" i="2"/>
  <c r="B1008" i="2"/>
  <c r="A1008" i="2"/>
  <c r="N1007" i="2"/>
  <c r="M1007" i="2"/>
  <c r="K1007" i="2"/>
  <c r="I1007" i="2"/>
  <c r="H1007" i="2"/>
  <c r="G1007" i="2"/>
  <c r="F1007" i="2"/>
  <c r="E1007" i="2"/>
  <c r="D1007" i="2"/>
  <c r="C1007" i="2"/>
  <c r="B1007" i="2"/>
  <c r="A1007" i="2"/>
  <c r="N1006" i="2"/>
  <c r="M1006" i="2"/>
  <c r="L1006" i="2"/>
  <c r="K1006" i="2"/>
  <c r="I1006" i="2"/>
  <c r="H1006" i="2"/>
  <c r="G1006" i="2"/>
  <c r="F1006" i="2"/>
  <c r="E1006" i="2"/>
  <c r="C1006" i="2"/>
  <c r="B1006" i="2"/>
  <c r="A1006" i="2"/>
  <c r="N1005" i="2"/>
  <c r="M1005" i="2"/>
  <c r="K1005" i="2"/>
  <c r="I1005" i="2"/>
  <c r="H1005" i="2"/>
  <c r="G1005" i="2"/>
  <c r="F1005" i="2"/>
  <c r="E1005" i="2"/>
  <c r="D1005" i="2"/>
  <c r="C1005" i="2"/>
  <c r="B1005" i="2"/>
  <c r="A1005" i="2"/>
  <c r="N1004" i="2"/>
  <c r="M1004" i="2"/>
  <c r="K1004" i="2"/>
  <c r="I1004" i="2"/>
  <c r="H1004" i="2"/>
  <c r="G1004" i="2"/>
  <c r="F1004" i="2"/>
  <c r="E1004" i="2"/>
  <c r="D1004" i="2"/>
  <c r="C1004" i="2"/>
  <c r="B1004" i="2"/>
  <c r="A1004" i="2"/>
  <c r="N1003" i="2"/>
  <c r="M1003" i="2"/>
  <c r="L1003" i="2"/>
  <c r="K1003" i="2"/>
  <c r="I1003" i="2"/>
  <c r="H1003" i="2"/>
  <c r="G1003" i="2"/>
  <c r="F1003" i="2"/>
  <c r="E1003" i="2"/>
  <c r="C1003" i="2"/>
  <c r="B1003" i="2"/>
  <c r="A1003" i="2"/>
  <c r="N1002" i="2"/>
  <c r="M1002" i="2"/>
  <c r="K1002" i="2"/>
  <c r="I1002" i="2"/>
  <c r="H1002" i="2"/>
  <c r="G1002" i="2"/>
  <c r="F1002" i="2"/>
  <c r="E1002" i="2"/>
  <c r="D1002" i="2"/>
  <c r="B1002" i="2"/>
  <c r="A1002" i="2"/>
  <c r="N1001" i="2"/>
  <c r="M1001" i="2"/>
  <c r="K1001" i="2"/>
  <c r="I1001" i="2"/>
  <c r="H1001" i="2"/>
  <c r="G1001" i="2"/>
  <c r="F1001" i="2"/>
  <c r="E1001" i="2"/>
  <c r="D1001" i="2"/>
  <c r="C1001" i="2"/>
  <c r="B1001" i="2"/>
  <c r="A1001" i="2"/>
  <c r="N1000" i="2"/>
  <c r="M1000" i="2"/>
  <c r="K1000" i="2"/>
  <c r="I1000" i="2"/>
  <c r="H1000" i="2"/>
  <c r="G1000" i="2"/>
  <c r="F1000" i="2"/>
  <c r="E1000" i="2"/>
  <c r="C1000" i="2"/>
  <c r="B1000" i="2"/>
  <c r="A1000" i="2"/>
  <c r="N999" i="2"/>
  <c r="M999" i="2"/>
  <c r="K999" i="2"/>
  <c r="I999" i="2"/>
  <c r="H999" i="2"/>
  <c r="G999" i="2"/>
  <c r="F999" i="2"/>
  <c r="E999" i="2"/>
  <c r="D999" i="2"/>
  <c r="C999" i="2"/>
  <c r="B999" i="2"/>
  <c r="A999" i="2"/>
  <c r="N998" i="2"/>
  <c r="M998" i="2"/>
  <c r="K998" i="2"/>
  <c r="I998" i="2"/>
  <c r="H998" i="2"/>
  <c r="G998" i="2"/>
  <c r="F998" i="2"/>
  <c r="E998" i="2"/>
  <c r="D998" i="2"/>
  <c r="C998" i="2"/>
  <c r="B998" i="2"/>
  <c r="A998" i="2"/>
  <c r="N997" i="2"/>
  <c r="M997" i="2"/>
  <c r="K997" i="2"/>
  <c r="I997" i="2"/>
  <c r="H997" i="2"/>
  <c r="G997" i="2"/>
  <c r="F997" i="2"/>
  <c r="E997" i="2"/>
  <c r="D997" i="2"/>
  <c r="C997" i="2"/>
  <c r="B997" i="2"/>
  <c r="A997" i="2"/>
  <c r="N996" i="2"/>
  <c r="M996" i="2"/>
  <c r="I996" i="2"/>
  <c r="H996" i="2"/>
  <c r="G996" i="2"/>
  <c r="F996" i="2"/>
  <c r="E996" i="2"/>
  <c r="D996" i="2"/>
  <c r="C996" i="2"/>
  <c r="B996" i="2"/>
  <c r="A996" i="2"/>
  <c r="N995" i="2"/>
  <c r="M995" i="2"/>
  <c r="L995" i="2"/>
  <c r="K995" i="2"/>
  <c r="I995" i="2"/>
  <c r="H995" i="2"/>
  <c r="G995" i="2"/>
  <c r="F995" i="2"/>
  <c r="E995" i="2"/>
  <c r="D995" i="2"/>
  <c r="C995" i="2"/>
  <c r="B995" i="2"/>
  <c r="A995" i="2"/>
  <c r="N994" i="2"/>
  <c r="M994" i="2"/>
  <c r="K994" i="2"/>
  <c r="I994" i="2"/>
  <c r="H994" i="2"/>
  <c r="G994" i="2"/>
  <c r="F994" i="2"/>
  <c r="E994" i="2"/>
  <c r="D994" i="2"/>
  <c r="C994" i="2"/>
  <c r="B994" i="2"/>
  <c r="A994" i="2"/>
  <c r="N993" i="2"/>
  <c r="M993" i="2"/>
  <c r="K993" i="2"/>
  <c r="I993" i="2"/>
  <c r="H993" i="2"/>
  <c r="G993" i="2"/>
  <c r="F993" i="2"/>
  <c r="E993" i="2"/>
  <c r="D993" i="2"/>
  <c r="C993" i="2"/>
  <c r="B993" i="2"/>
  <c r="A993" i="2"/>
  <c r="N992" i="2"/>
  <c r="M992" i="2"/>
  <c r="K992" i="2"/>
  <c r="I992" i="2"/>
  <c r="H992" i="2"/>
  <c r="G992" i="2"/>
  <c r="F992" i="2"/>
  <c r="E992" i="2"/>
  <c r="D992" i="2"/>
  <c r="C992" i="2"/>
  <c r="B992" i="2"/>
  <c r="A992" i="2"/>
  <c r="N991" i="2"/>
  <c r="M991" i="2"/>
  <c r="K991" i="2"/>
  <c r="I991" i="2"/>
  <c r="H991" i="2"/>
  <c r="G991" i="2"/>
  <c r="F991" i="2"/>
  <c r="E991" i="2"/>
  <c r="C991" i="2"/>
  <c r="B991" i="2"/>
  <c r="A991" i="2"/>
  <c r="N990" i="2"/>
  <c r="M990" i="2"/>
  <c r="K990" i="2"/>
  <c r="I990" i="2"/>
  <c r="H990" i="2"/>
  <c r="G990" i="2"/>
  <c r="F990" i="2"/>
  <c r="E990" i="2"/>
  <c r="D990" i="2"/>
  <c r="C990" i="2"/>
  <c r="B990" i="2"/>
  <c r="A990" i="2"/>
  <c r="N989" i="2"/>
  <c r="M989" i="2"/>
  <c r="K989" i="2"/>
  <c r="I989" i="2"/>
  <c r="H989" i="2"/>
  <c r="G989" i="2"/>
  <c r="F989" i="2"/>
  <c r="E989" i="2"/>
  <c r="D989" i="2"/>
  <c r="C989" i="2"/>
  <c r="B989" i="2"/>
  <c r="A989" i="2"/>
  <c r="N988" i="2"/>
  <c r="M988" i="2"/>
  <c r="K988" i="2"/>
  <c r="I988" i="2"/>
  <c r="H988" i="2"/>
  <c r="G988" i="2"/>
  <c r="F988" i="2"/>
  <c r="E988" i="2"/>
  <c r="D988" i="2"/>
  <c r="C988" i="2"/>
  <c r="B988" i="2"/>
  <c r="A988" i="2"/>
  <c r="N987" i="2"/>
  <c r="M987" i="2"/>
  <c r="K987" i="2"/>
  <c r="I987" i="2"/>
  <c r="H987" i="2"/>
  <c r="G987" i="2"/>
  <c r="F987" i="2"/>
  <c r="E987" i="2"/>
  <c r="D987" i="2"/>
  <c r="C987" i="2"/>
  <c r="B987" i="2"/>
  <c r="A987" i="2"/>
  <c r="N986" i="2"/>
  <c r="M986" i="2"/>
  <c r="K986" i="2"/>
  <c r="I986" i="2"/>
  <c r="H986" i="2"/>
  <c r="G986" i="2"/>
  <c r="F986" i="2"/>
  <c r="E986" i="2"/>
  <c r="D986" i="2"/>
  <c r="C986" i="2"/>
  <c r="B986" i="2"/>
  <c r="A986" i="2"/>
  <c r="N985" i="2"/>
  <c r="M985" i="2"/>
  <c r="K985" i="2"/>
  <c r="I985" i="2"/>
  <c r="H985" i="2"/>
  <c r="G985" i="2"/>
  <c r="F985" i="2"/>
  <c r="E985" i="2"/>
  <c r="D985" i="2"/>
  <c r="C985" i="2"/>
  <c r="B985" i="2"/>
  <c r="A985" i="2"/>
  <c r="N984" i="2"/>
  <c r="M984" i="2"/>
  <c r="K984" i="2"/>
  <c r="I984" i="2"/>
  <c r="H984" i="2"/>
  <c r="G984" i="2"/>
  <c r="F984" i="2"/>
  <c r="E984" i="2"/>
  <c r="D984" i="2"/>
  <c r="C984" i="2"/>
  <c r="B984" i="2"/>
  <c r="A984" i="2"/>
  <c r="N983" i="2"/>
  <c r="M983" i="2"/>
  <c r="K983" i="2"/>
  <c r="I983" i="2"/>
  <c r="H983" i="2"/>
  <c r="G983" i="2"/>
  <c r="F983" i="2"/>
  <c r="E983" i="2"/>
  <c r="D983" i="2"/>
  <c r="C983" i="2"/>
  <c r="B983" i="2"/>
  <c r="A983" i="2"/>
  <c r="N982" i="2"/>
  <c r="M982" i="2"/>
  <c r="L982" i="2"/>
  <c r="K982" i="2"/>
  <c r="I982" i="2"/>
  <c r="H982" i="2"/>
  <c r="G982" i="2"/>
  <c r="F982" i="2"/>
  <c r="E982" i="2"/>
  <c r="D982" i="2"/>
  <c r="C982" i="2"/>
  <c r="B982" i="2"/>
  <c r="A982" i="2"/>
  <c r="N981" i="2"/>
  <c r="M981" i="2"/>
  <c r="K981" i="2"/>
  <c r="I981" i="2"/>
  <c r="H981" i="2"/>
  <c r="G981" i="2"/>
  <c r="F981" i="2"/>
  <c r="E981" i="2"/>
  <c r="D981" i="2"/>
  <c r="C981" i="2"/>
  <c r="B981" i="2"/>
  <c r="A981" i="2"/>
  <c r="N980" i="2"/>
  <c r="M980" i="2"/>
  <c r="K980" i="2"/>
  <c r="H980" i="2"/>
  <c r="G980" i="2"/>
  <c r="F980" i="2"/>
  <c r="E980" i="2"/>
  <c r="D980" i="2"/>
  <c r="C980" i="2"/>
  <c r="B980" i="2"/>
  <c r="A980" i="2"/>
  <c r="N979" i="2"/>
  <c r="M979" i="2"/>
  <c r="L979" i="2"/>
  <c r="K979" i="2"/>
  <c r="I979" i="2"/>
  <c r="H979" i="2"/>
  <c r="G979" i="2"/>
  <c r="F979" i="2"/>
  <c r="E979" i="2"/>
  <c r="D979" i="2"/>
  <c r="C979" i="2"/>
  <c r="B979" i="2"/>
  <c r="A979" i="2"/>
  <c r="N978" i="2"/>
  <c r="M978" i="2"/>
  <c r="K978" i="2"/>
  <c r="I978" i="2"/>
  <c r="H978" i="2"/>
  <c r="G978" i="2"/>
  <c r="F978" i="2"/>
  <c r="E978" i="2"/>
  <c r="D978" i="2"/>
  <c r="C978" i="2"/>
  <c r="B978" i="2"/>
  <c r="A978" i="2"/>
  <c r="N977" i="2"/>
  <c r="M977" i="2"/>
  <c r="K977" i="2"/>
  <c r="I977" i="2"/>
  <c r="H977" i="2"/>
  <c r="G977" i="2"/>
  <c r="F977" i="2"/>
  <c r="E977" i="2"/>
  <c r="D977" i="2"/>
  <c r="C977" i="2"/>
  <c r="B977" i="2"/>
  <c r="A977" i="2"/>
  <c r="N976" i="2"/>
  <c r="M976" i="2"/>
  <c r="K976" i="2"/>
  <c r="I976" i="2"/>
  <c r="H976" i="2"/>
  <c r="G976" i="2"/>
  <c r="F976" i="2"/>
  <c r="E976" i="2"/>
  <c r="D976" i="2"/>
  <c r="C976" i="2"/>
  <c r="B976" i="2"/>
  <c r="A976" i="2"/>
  <c r="N975" i="2"/>
  <c r="M975" i="2"/>
  <c r="K975" i="2"/>
  <c r="I975" i="2"/>
  <c r="H975" i="2"/>
  <c r="G975" i="2"/>
  <c r="F975" i="2"/>
  <c r="E975" i="2"/>
  <c r="C975" i="2"/>
  <c r="B975" i="2"/>
  <c r="A975" i="2"/>
  <c r="N974" i="2"/>
  <c r="M974" i="2"/>
  <c r="K974" i="2"/>
  <c r="I974" i="2"/>
  <c r="H974" i="2"/>
  <c r="G974" i="2"/>
  <c r="F974" i="2"/>
  <c r="E974" i="2"/>
  <c r="D974" i="2"/>
  <c r="C974" i="2"/>
  <c r="B974" i="2"/>
  <c r="A974" i="2"/>
  <c r="N973" i="2"/>
  <c r="M973" i="2"/>
  <c r="L973" i="2"/>
  <c r="K973" i="2"/>
  <c r="I973" i="2"/>
  <c r="H973" i="2"/>
  <c r="G973" i="2"/>
  <c r="F973" i="2"/>
  <c r="E973" i="2"/>
  <c r="D973" i="2"/>
  <c r="C973" i="2"/>
  <c r="B973" i="2"/>
  <c r="A973" i="2"/>
  <c r="N972" i="2"/>
  <c r="M972" i="2"/>
  <c r="L972" i="2"/>
  <c r="K972" i="2"/>
  <c r="I972" i="2"/>
  <c r="H972" i="2"/>
  <c r="G972" i="2"/>
  <c r="F972" i="2"/>
  <c r="E972" i="2"/>
  <c r="D972" i="2"/>
  <c r="C972" i="2"/>
  <c r="B972" i="2"/>
  <c r="A972" i="2"/>
  <c r="N971" i="2"/>
  <c r="M971" i="2"/>
  <c r="L971" i="2"/>
  <c r="K971" i="2"/>
  <c r="I971" i="2"/>
  <c r="H971" i="2"/>
  <c r="G971" i="2"/>
  <c r="F971" i="2"/>
  <c r="E971" i="2"/>
  <c r="D971" i="2"/>
  <c r="C971" i="2"/>
  <c r="B971" i="2"/>
  <c r="A971" i="2"/>
  <c r="N970" i="2"/>
  <c r="M970" i="2"/>
  <c r="K970" i="2"/>
  <c r="I970" i="2"/>
  <c r="H970" i="2"/>
  <c r="G970" i="2"/>
  <c r="F970" i="2"/>
  <c r="E970" i="2"/>
  <c r="D970" i="2"/>
  <c r="C970" i="2"/>
  <c r="B970" i="2"/>
  <c r="A970" i="2"/>
  <c r="N969" i="2"/>
  <c r="M969" i="2"/>
  <c r="K969" i="2"/>
  <c r="I969" i="2"/>
  <c r="H969" i="2"/>
  <c r="G969" i="2"/>
  <c r="F969" i="2"/>
  <c r="E969" i="2"/>
  <c r="D969" i="2"/>
  <c r="C969" i="2"/>
  <c r="B969" i="2"/>
  <c r="A969" i="2"/>
  <c r="N968" i="2"/>
  <c r="M968" i="2"/>
  <c r="L968" i="2"/>
  <c r="K968" i="2"/>
  <c r="I968" i="2"/>
  <c r="H968" i="2"/>
  <c r="G968" i="2"/>
  <c r="F968" i="2"/>
  <c r="E968" i="2"/>
  <c r="D968" i="2"/>
  <c r="C968" i="2"/>
  <c r="B968" i="2"/>
  <c r="A968" i="2"/>
  <c r="N967" i="2"/>
  <c r="M967" i="2"/>
  <c r="K967" i="2"/>
  <c r="I967" i="2"/>
  <c r="H967" i="2"/>
  <c r="G967" i="2"/>
  <c r="F967" i="2"/>
  <c r="E967" i="2"/>
  <c r="D967" i="2"/>
  <c r="C967" i="2"/>
  <c r="B967" i="2"/>
  <c r="A967" i="2"/>
  <c r="N966" i="2"/>
  <c r="M966" i="2"/>
  <c r="K966" i="2"/>
  <c r="I966" i="2"/>
  <c r="H966" i="2"/>
  <c r="G966" i="2"/>
  <c r="F966" i="2"/>
  <c r="E966" i="2"/>
  <c r="D966" i="2"/>
  <c r="C966" i="2"/>
  <c r="B966" i="2"/>
  <c r="A966" i="2"/>
  <c r="N965" i="2"/>
  <c r="M965" i="2"/>
  <c r="K965" i="2"/>
  <c r="I965" i="2"/>
  <c r="H965" i="2"/>
  <c r="G965" i="2"/>
  <c r="F965" i="2"/>
  <c r="E965" i="2"/>
  <c r="D965" i="2"/>
  <c r="C965" i="2"/>
  <c r="B965" i="2"/>
  <c r="A965" i="2"/>
  <c r="N964" i="2"/>
  <c r="M964" i="2"/>
  <c r="K964" i="2"/>
  <c r="I964" i="2"/>
  <c r="H964" i="2"/>
  <c r="G964" i="2"/>
  <c r="F964" i="2"/>
  <c r="E964" i="2"/>
  <c r="D964" i="2"/>
  <c r="C964" i="2"/>
  <c r="B964" i="2"/>
  <c r="A964" i="2"/>
  <c r="N963" i="2"/>
  <c r="M963" i="2"/>
  <c r="L963" i="2"/>
  <c r="K963" i="2"/>
  <c r="I963" i="2"/>
  <c r="H963" i="2"/>
  <c r="G963" i="2"/>
  <c r="F963" i="2"/>
  <c r="E963" i="2"/>
  <c r="D963" i="2"/>
  <c r="C963" i="2"/>
  <c r="B963" i="2"/>
  <c r="A963" i="2"/>
  <c r="N962" i="2"/>
  <c r="M962" i="2"/>
  <c r="K962" i="2"/>
  <c r="I962" i="2"/>
  <c r="H962" i="2"/>
  <c r="G962" i="2"/>
  <c r="F962" i="2"/>
  <c r="E962" i="2"/>
  <c r="D962" i="2"/>
  <c r="C962" i="2"/>
  <c r="B962" i="2"/>
  <c r="A962" i="2"/>
  <c r="N961" i="2"/>
  <c r="K961" i="2"/>
  <c r="I961" i="2"/>
  <c r="H961" i="2"/>
  <c r="G961" i="2"/>
  <c r="F961" i="2"/>
  <c r="E961" i="2"/>
  <c r="D961" i="2"/>
  <c r="C961" i="2"/>
  <c r="B961" i="2"/>
  <c r="N960" i="2"/>
  <c r="M960" i="2"/>
  <c r="K960" i="2"/>
  <c r="I960" i="2"/>
  <c r="H960" i="2"/>
  <c r="G960" i="2"/>
  <c r="F960" i="2"/>
  <c r="E960" i="2"/>
  <c r="D960" i="2"/>
  <c r="C960" i="2"/>
  <c r="B960" i="2"/>
  <c r="A960" i="2"/>
  <c r="N959" i="2"/>
  <c r="M959" i="2"/>
  <c r="K959" i="2"/>
  <c r="I959" i="2"/>
  <c r="H959" i="2"/>
  <c r="G959" i="2"/>
  <c r="F959" i="2"/>
  <c r="E959" i="2"/>
  <c r="D959" i="2"/>
  <c r="C959" i="2"/>
  <c r="B959" i="2"/>
  <c r="A959" i="2"/>
  <c r="N958" i="2"/>
  <c r="M958" i="2"/>
  <c r="K958" i="2"/>
  <c r="I958" i="2"/>
  <c r="H958" i="2"/>
  <c r="G958" i="2"/>
  <c r="F958" i="2"/>
  <c r="E958" i="2"/>
  <c r="D958" i="2"/>
  <c r="C958" i="2"/>
  <c r="B958" i="2"/>
  <c r="A958" i="2"/>
  <c r="N957" i="2"/>
  <c r="M957" i="2"/>
  <c r="K957" i="2"/>
  <c r="I957" i="2"/>
  <c r="H957" i="2"/>
  <c r="G957" i="2"/>
  <c r="F957" i="2"/>
  <c r="E957" i="2"/>
  <c r="D957" i="2"/>
  <c r="C957" i="2"/>
  <c r="B957" i="2"/>
  <c r="A957" i="2"/>
  <c r="N956" i="2"/>
  <c r="M956" i="2"/>
  <c r="K956" i="2"/>
  <c r="I956" i="2"/>
  <c r="H956" i="2"/>
  <c r="G956" i="2"/>
  <c r="F956" i="2"/>
  <c r="E956" i="2"/>
  <c r="D956" i="2"/>
  <c r="C956" i="2"/>
  <c r="B956" i="2"/>
  <c r="A956" i="2"/>
  <c r="N955" i="2"/>
  <c r="M955" i="2"/>
  <c r="K955" i="2"/>
  <c r="I955" i="2"/>
  <c r="H955" i="2"/>
  <c r="G955" i="2"/>
  <c r="F955" i="2"/>
  <c r="E955" i="2"/>
  <c r="D955" i="2"/>
  <c r="C955" i="2"/>
  <c r="B955" i="2"/>
  <c r="A955" i="2"/>
  <c r="N954" i="2"/>
  <c r="M954" i="2"/>
  <c r="K954" i="2"/>
  <c r="I954" i="2"/>
  <c r="H954" i="2"/>
  <c r="G954" i="2"/>
  <c r="F954" i="2"/>
  <c r="E954" i="2"/>
  <c r="D954" i="2"/>
  <c r="C954" i="2"/>
  <c r="B954" i="2"/>
  <c r="A954" i="2"/>
  <c r="N953" i="2"/>
  <c r="M953" i="2"/>
  <c r="K953" i="2"/>
  <c r="I953" i="2"/>
  <c r="H953" i="2"/>
  <c r="G953" i="2"/>
  <c r="F953" i="2"/>
  <c r="E953" i="2"/>
  <c r="D953" i="2"/>
  <c r="C953" i="2"/>
  <c r="B953" i="2"/>
  <c r="A953" i="2"/>
  <c r="N952" i="2"/>
  <c r="M952" i="2"/>
  <c r="L952" i="2"/>
  <c r="K952" i="2"/>
  <c r="I952" i="2"/>
  <c r="H952" i="2"/>
  <c r="G952" i="2"/>
  <c r="F952" i="2"/>
  <c r="E952" i="2"/>
  <c r="D952" i="2"/>
  <c r="C952" i="2"/>
  <c r="B952" i="2"/>
  <c r="A952" i="2"/>
  <c r="N951" i="2"/>
  <c r="M951" i="2"/>
  <c r="L951" i="2"/>
  <c r="K951" i="2"/>
  <c r="I951" i="2"/>
  <c r="H951" i="2"/>
  <c r="G951" i="2"/>
  <c r="F951" i="2"/>
  <c r="E951" i="2"/>
  <c r="D951" i="2"/>
  <c r="C951" i="2"/>
  <c r="B951" i="2"/>
  <c r="A951" i="2"/>
  <c r="N950" i="2"/>
  <c r="M950" i="2"/>
  <c r="L950" i="2"/>
  <c r="K950" i="2"/>
  <c r="I950" i="2"/>
  <c r="H950" i="2"/>
  <c r="G950" i="2"/>
  <c r="F950" i="2"/>
  <c r="E950" i="2"/>
  <c r="D950" i="2"/>
  <c r="C950" i="2"/>
  <c r="B950" i="2"/>
  <c r="A950" i="2"/>
  <c r="N949" i="2"/>
  <c r="M949" i="2"/>
  <c r="L949" i="2"/>
  <c r="K949" i="2"/>
  <c r="I949" i="2"/>
  <c r="H949" i="2"/>
  <c r="G949" i="2"/>
  <c r="F949" i="2"/>
  <c r="E949" i="2"/>
  <c r="D949" i="2"/>
  <c r="C949" i="2"/>
  <c r="B949" i="2"/>
  <c r="A949" i="2"/>
  <c r="N948" i="2"/>
  <c r="M948" i="2"/>
  <c r="L948" i="2"/>
  <c r="K948" i="2"/>
  <c r="I948" i="2"/>
  <c r="H948" i="2"/>
  <c r="G948" i="2"/>
  <c r="F948" i="2"/>
  <c r="E948" i="2"/>
  <c r="D948" i="2"/>
  <c r="C948" i="2"/>
  <c r="B948" i="2"/>
  <c r="A948" i="2"/>
  <c r="N947" i="2"/>
  <c r="M947" i="2"/>
  <c r="L947" i="2"/>
  <c r="K947" i="2"/>
  <c r="I947" i="2"/>
  <c r="H947" i="2"/>
  <c r="G947" i="2"/>
  <c r="F947" i="2"/>
  <c r="E947" i="2"/>
  <c r="D947" i="2"/>
  <c r="C947" i="2"/>
  <c r="B947" i="2"/>
  <c r="A947" i="2"/>
  <c r="N946" i="2"/>
  <c r="M946" i="2"/>
  <c r="L946" i="2"/>
  <c r="K946" i="2"/>
  <c r="I946" i="2"/>
  <c r="H946" i="2"/>
  <c r="G946" i="2"/>
  <c r="F946" i="2"/>
  <c r="E946" i="2"/>
  <c r="D946" i="2"/>
  <c r="C946" i="2"/>
  <c r="B946" i="2"/>
  <c r="A946" i="2"/>
  <c r="N945" i="2"/>
  <c r="M945" i="2"/>
  <c r="K945" i="2"/>
  <c r="I945" i="2"/>
  <c r="H945" i="2"/>
  <c r="G945" i="2"/>
  <c r="F945" i="2"/>
  <c r="E945" i="2"/>
  <c r="D945" i="2"/>
  <c r="C945" i="2"/>
  <c r="B945" i="2"/>
  <c r="A945" i="2"/>
  <c r="N944" i="2"/>
  <c r="M944" i="2"/>
  <c r="L944" i="2"/>
  <c r="K944" i="2"/>
  <c r="I944" i="2"/>
  <c r="H944" i="2"/>
  <c r="G944" i="2"/>
  <c r="F944" i="2"/>
  <c r="E944" i="2"/>
  <c r="D944" i="2"/>
  <c r="C944" i="2"/>
  <c r="B944" i="2"/>
  <c r="A944" i="2"/>
  <c r="N943" i="2"/>
  <c r="M943" i="2"/>
  <c r="L943" i="2"/>
  <c r="K943" i="2"/>
  <c r="I943" i="2"/>
  <c r="H943" i="2"/>
  <c r="G943" i="2"/>
  <c r="F943" i="2"/>
  <c r="E943" i="2"/>
  <c r="D943" i="2"/>
  <c r="C943" i="2"/>
  <c r="B943" i="2"/>
  <c r="A943" i="2"/>
  <c r="N942" i="2"/>
  <c r="M942" i="2"/>
  <c r="L942" i="2"/>
  <c r="K942" i="2"/>
  <c r="I942" i="2"/>
  <c r="H942" i="2"/>
  <c r="G942" i="2"/>
  <c r="F942" i="2"/>
  <c r="E942" i="2"/>
  <c r="D942" i="2"/>
  <c r="C942" i="2"/>
  <c r="B942" i="2"/>
  <c r="A942" i="2"/>
  <c r="N941" i="2"/>
  <c r="M941" i="2"/>
  <c r="L941" i="2"/>
  <c r="K941" i="2"/>
  <c r="I941" i="2"/>
  <c r="H941" i="2"/>
  <c r="G941" i="2"/>
  <c r="F941" i="2"/>
  <c r="E941" i="2"/>
  <c r="D941" i="2"/>
  <c r="C941" i="2"/>
  <c r="B941" i="2"/>
  <c r="A941" i="2"/>
  <c r="N940" i="2"/>
  <c r="M940" i="2"/>
  <c r="L940" i="2"/>
  <c r="K940" i="2"/>
  <c r="I940" i="2"/>
  <c r="H940" i="2"/>
  <c r="G940" i="2"/>
  <c r="F940" i="2"/>
  <c r="E940" i="2"/>
  <c r="D940" i="2"/>
  <c r="C940" i="2"/>
  <c r="B940" i="2"/>
  <c r="A940" i="2"/>
  <c r="N939" i="2"/>
  <c r="M939" i="2"/>
  <c r="K939" i="2"/>
  <c r="I939" i="2"/>
  <c r="H939" i="2"/>
  <c r="G939" i="2"/>
  <c r="F939" i="2"/>
  <c r="E939" i="2"/>
  <c r="D939" i="2"/>
  <c r="C939" i="2"/>
  <c r="B939" i="2"/>
  <c r="A939" i="2"/>
  <c r="N938" i="2"/>
  <c r="M938" i="2"/>
  <c r="L938" i="2"/>
  <c r="K938" i="2"/>
  <c r="I938" i="2"/>
  <c r="H938" i="2"/>
  <c r="G938" i="2"/>
  <c r="F938" i="2"/>
  <c r="E938" i="2"/>
  <c r="D938" i="2"/>
  <c r="C938" i="2"/>
  <c r="B938" i="2"/>
  <c r="A938" i="2"/>
  <c r="N937" i="2"/>
  <c r="M937" i="2"/>
  <c r="K937" i="2"/>
  <c r="I937" i="2"/>
  <c r="H937" i="2"/>
  <c r="G937" i="2"/>
  <c r="F937" i="2"/>
  <c r="E937" i="2"/>
  <c r="D937" i="2"/>
  <c r="C937" i="2"/>
  <c r="B937" i="2"/>
  <c r="A937" i="2"/>
  <c r="N936" i="2"/>
  <c r="M936" i="2"/>
  <c r="L936" i="2"/>
  <c r="K936" i="2"/>
  <c r="I936" i="2"/>
  <c r="H936" i="2"/>
  <c r="G936" i="2"/>
  <c r="F936" i="2"/>
  <c r="E936" i="2"/>
  <c r="C936" i="2"/>
  <c r="B936" i="2"/>
  <c r="A936" i="2"/>
  <c r="N935" i="2"/>
  <c r="M935" i="2"/>
  <c r="L935" i="2"/>
  <c r="K935" i="2"/>
  <c r="I935" i="2"/>
  <c r="H935" i="2"/>
  <c r="G935" i="2"/>
  <c r="F935" i="2"/>
  <c r="E935" i="2"/>
  <c r="D935" i="2"/>
  <c r="C935" i="2"/>
  <c r="B935" i="2"/>
  <c r="A935" i="2"/>
  <c r="N934" i="2"/>
  <c r="M934" i="2"/>
  <c r="K934" i="2"/>
  <c r="I934" i="2"/>
  <c r="H934" i="2"/>
  <c r="G934" i="2"/>
  <c r="F934" i="2"/>
  <c r="E934" i="2"/>
  <c r="D934" i="2"/>
  <c r="C934" i="2"/>
  <c r="B934" i="2"/>
  <c r="A934" i="2"/>
  <c r="N933" i="2"/>
  <c r="M933" i="2"/>
  <c r="K933" i="2"/>
  <c r="I933" i="2"/>
  <c r="H933" i="2"/>
  <c r="G933" i="2"/>
  <c r="F933" i="2"/>
  <c r="E933" i="2"/>
  <c r="D933" i="2"/>
  <c r="C933" i="2"/>
  <c r="B933" i="2"/>
  <c r="A933" i="2"/>
  <c r="N932" i="2"/>
  <c r="M932" i="2"/>
  <c r="L932" i="2"/>
  <c r="K932" i="2"/>
  <c r="I932" i="2"/>
  <c r="H932" i="2"/>
  <c r="G932" i="2"/>
  <c r="F932" i="2"/>
  <c r="E932" i="2"/>
  <c r="D932" i="2"/>
  <c r="C932" i="2"/>
  <c r="B932" i="2"/>
  <c r="A932" i="2"/>
  <c r="N931" i="2"/>
  <c r="M931" i="2"/>
  <c r="L931" i="2"/>
  <c r="K931" i="2"/>
  <c r="I931" i="2"/>
  <c r="H931" i="2"/>
  <c r="G931" i="2"/>
  <c r="F931" i="2"/>
  <c r="E931" i="2"/>
  <c r="D931" i="2"/>
  <c r="C931" i="2"/>
  <c r="B931" i="2"/>
  <c r="A931" i="2"/>
  <c r="N930" i="2"/>
  <c r="M930" i="2"/>
  <c r="L930" i="2"/>
  <c r="K930" i="2"/>
  <c r="I930" i="2"/>
  <c r="H930" i="2"/>
  <c r="G930" i="2"/>
  <c r="F930" i="2"/>
  <c r="E930" i="2"/>
  <c r="D930" i="2"/>
  <c r="C930" i="2"/>
  <c r="B930" i="2"/>
  <c r="A930" i="2"/>
  <c r="N929" i="2"/>
  <c r="M929" i="2"/>
  <c r="K929" i="2"/>
  <c r="I929" i="2"/>
  <c r="H929" i="2"/>
  <c r="G929" i="2"/>
  <c r="F929" i="2"/>
  <c r="E929" i="2"/>
  <c r="D929" i="2"/>
  <c r="C929" i="2"/>
  <c r="B929" i="2"/>
  <c r="A929" i="2"/>
  <c r="N928" i="2"/>
  <c r="M928" i="2"/>
  <c r="K928" i="2"/>
  <c r="I928" i="2"/>
  <c r="H928" i="2"/>
  <c r="G928" i="2"/>
  <c r="F928" i="2"/>
  <c r="E928" i="2"/>
  <c r="C928" i="2"/>
  <c r="B928" i="2"/>
  <c r="A928" i="2"/>
  <c r="N927" i="2"/>
  <c r="M927" i="2"/>
  <c r="L927" i="2"/>
  <c r="K927" i="2"/>
  <c r="I927" i="2"/>
  <c r="H927" i="2"/>
  <c r="G927" i="2"/>
  <c r="F927" i="2"/>
  <c r="E927" i="2"/>
  <c r="D927" i="2"/>
  <c r="C927" i="2"/>
  <c r="B927" i="2"/>
  <c r="A927" i="2"/>
  <c r="N926" i="2"/>
  <c r="M926" i="2"/>
  <c r="L926" i="2"/>
  <c r="K926" i="2"/>
  <c r="I926" i="2"/>
  <c r="H926" i="2"/>
  <c r="G926" i="2"/>
  <c r="F926" i="2"/>
  <c r="E926" i="2"/>
  <c r="D926" i="2"/>
  <c r="C926" i="2"/>
  <c r="B926" i="2"/>
  <c r="A926" i="2"/>
  <c r="N925" i="2"/>
  <c r="M925" i="2"/>
  <c r="K925" i="2"/>
  <c r="I925" i="2"/>
  <c r="H925" i="2"/>
  <c r="G925" i="2"/>
  <c r="F925" i="2"/>
  <c r="E925" i="2"/>
  <c r="D925" i="2"/>
  <c r="C925" i="2"/>
  <c r="B925" i="2"/>
  <c r="A925" i="2"/>
  <c r="N924" i="2"/>
  <c r="M924" i="2"/>
  <c r="I924" i="2"/>
  <c r="H924" i="2"/>
  <c r="G924" i="2"/>
  <c r="F924" i="2"/>
  <c r="E924" i="2"/>
  <c r="D924" i="2"/>
  <c r="C924" i="2"/>
  <c r="B924" i="2"/>
  <c r="A924" i="2"/>
  <c r="N923" i="2"/>
  <c r="M923" i="2"/>
  <c r="K923" i="2"/>
  <c r="I923" i="2"/>
  <c r="H923" i="2"/>
  <c r="G923" i="2"/>
  <c r="F923" i="2"/>
  <c r="E923" i="2"/>
  <c r="D923" i="2"/>
  <c r="C923" i="2"/>
  <c r="B923" i="2"/>
  <c r="A923" i="2"/>
  <c r="N922" i="2"/>
  <c r="M922" i="2"/>
  <c r="L922" i="2"/>
  <c r="K922" i="2"/>
  <c r="I922" i="2"/>
  <c r="H922" i="2"/>
  <c r="G922" i="2"/>
  <c r="F922" i="2"/>
  <c r="E922" i="2"/>
  <c r="D922" i="2"/>
  <c r="C922" i="2"/>
  <c r="B922" i="2"/>
  <c r="A922" i="2"/>
  <c r="N921" i="2"/>
  <c r="M921" i="2"/>
  <c r="L921" i="2"/>
  <c r="K921" i="2"/>
  <c r="I921" i="2"/>
  <c r="H921" i="2"/>
  <c r="G921" i="2"/>
  <c r="F921" i="2"/>
  <c r="E921" i="2"/>
  <c r="D921" i="2"/>
  <c r="C921" i="2"/>
  <c r="B921" i="2"/>
  <c r="A921" i="2"/>
  <c r="N920" i="2"/>
  <c r="M920" i="2"/>
  <c r="K920" i="2"/>
  <c r="I920" i="2"/>
  <c r="H920" i="2"/>
  <c r="G920" i="2"/>
  <c r="F920" i="2"/>
  <c r="E920" i="2"/>
  <c r="D920" i="2"/>
  <c r="C920" i="2"/>
  <c r="B920" i="2"/>
  <c r="A920" i="2"/>
  <c r="N919" i="2"/>
  <c r="M919" i="2"/>
  <c r="L919" i="2"/>
  <c r="K919" i="2"/>
  <c r="I919" i="2"/>
  <c r="H919" i="2"/>
  <c r="G919" i="2"/>
  <c r="F919" i="2"/>
  <c r="E919" i="2"/>
  <c r="D919" i="2"/>
  <c r="C919" i="2"/>
  <c r="B919" i="2"/>
  <c r="A919" i="2"/>
  <c r="N918" i="2"/>
  <c r="M918" i="2"/>
  <c r="L918" i="2"/>
  <c r="K918" i="2"/>
  <c r="I918" i="2"/>
  <c r="H918" i="2"/>
  <c r="G918" i="2"/>
  <c r="F918" i="2"/>
  <c r="E918" i="2"/>
  <c r="D918" i="2"/>
  <c r="C918" i="2"/>
  <c r="B918" i="2"/>
  <c r="A918" i="2"/>
  <c r="N917" i="2"/>
  <c r="M917" i="2"/>
  <c r="L917" i="2"/>
  <c r="K917" i="2"/>
  <c r="I917" i="2"/>
  <c r="H917" i="2"/>
  <c r="G917" i="2"/>
  <c r="F917" i="2"/>
  <c r="E917" i="2"/>
  <c r="D917" i="2"/>
  <c r="C917" i="2"/>
  <c r="B917" i="2"/>
  <c r="A917" i="2"/>
  <c r="N916" i="2"/>
  <c r="M916" i="2"/>
  <c r="L916" i="2"/>
  <c r="K916" i="2"/>
  <c r="I916" i="2"/>
  <c r="H916" i="2"/>
  <c r="G916" i="2"/>
  <c r="F916" i="2"/>
  <c r="E916" i="2"/>
  <c r="D916" i="2"/>
  <c r="C916" i="2"/>
  <c r="B916" i="2"/>
  <c r="A916" i="2"/>
  <c r="N915" i="2"/>
  <c r="M915" i="2"/>
  <c r="K915" i="2"/>
  <c r="I915" i="2"/>
  <c r="H915" i="2"/>
  <c r="G915" i="2"/>
  <c r="F915" i="2"/>
  <c r="E915" i="2"/>
  <c r="D915" i="2"/>
  <c r="C915" i="2"/>
  <c r="B915" i="2"/>
  <c r="A915" i="2"/>
  <c r="N914" i="2"/>
  <c r="M914" i="2"/>
  <c r="L914" i="2"/>
  <c r="K914" i="2"/>
  <c r="I914" i="2"/>
  <c r="H914" i="2"/>
  <c r="G914" i="2"/>
  <c r="F914" i="2"/>
  <c r="E914" i="2"/>
  <c r="D914" i="2"/>
  <c r="C914" i="2"/>
  <c r="B914" i="2"/>
  <c r="A914" i="2"/>
  <c r="N913" i="2"/>
  <c r="M913" i="2"/>
  <c r="L913" i="2"/>
  <c r="K913" i="2"/>
  <c r="I913" i="2"/>
  <c r="H913" i="2"/>
  <c r="G913" i="2"/>
  <c r="F913" i="2"/>
  <c r="E913" i="2"/>
  <c r="D913" i="2"/>
  <c r="C913" i="2"/>
  <c r="B913" i="2"/>
  <c r="A913" i="2"/>
  <c r="N912" i="2"/>
  <c r="M912" i="2"/>
  <c r="K912" i="2"/>
  <c r="I912" i="2"/>
  <c r="H912" i="2"/>
  <c r="G912" i="2"/>
  <c r="F912" i="2"/>
  <c r="E912" i="2"/>
  <c r="D912" i="2"/>
  <c r="C912" i="2"/>
  <c r="B912" i="2"/>
  <c r="A912" i="2"/>
  <c r="N911" i="2"/>
  <c r="M911" i="2"/>
  <c r="L911" i="2"/>
  <c r="I911" i="2"/>
  <c r="H911" i="2"/>
  <c r="G911" i="2"/>
  <c r="F911" i="2"/>
  <c r="E911" i="2"/>
  <c r="C911" i="2"/>
  <c r="B911" i="2"/>
  <c r="N910" i="2"/>
  <c r="M910" i="2"/>
  <c r="K910" i="2"/>
  <c r="I910" i="2"/>
  <c r="H910" i="2"/>
  <c r="G910" i="2"/>
  <c r="F910" i="2"/>
  <c r="E910" i="2"/>
  <c r="D910" i="2"/>
  <c r="C910" i="2"/>
  <c r="B910" i="2"/>
  <c r="A910" i="2"/>
  <c r="N909" i="2"/>
  <c r="M909" i="2"/>
  <c r="L909" i="2"/>
  <c r="K909" i="2"/>
  <c r="I909" i="2"/>
  <c r="H909" i="2"/>
  <c r="G909" i="2"/>
  <c r="F909" i="2"/>
  <c r="E909" i="2"/>
  <c r="D909" i="2"/>
  <c r="C909" i="2"/>
  <c r="B909" i="2"/>
  <c r="A909" i="2"/>
  <c r="N908" i="2"/>
  <c r="M908" i="2"/>
  <c r="L908" i="2"/>
  <c r="K908" i="2"/>
  <c r="I908" i="2"/>
  <c r="H908" i="2"/>
  <c r="G908" i="2"/>
  <c r="F908" i="2"/>
  <c r="E908" i="2"/>
  <c r="C908" i="2"/>
  <c r="B908" i="2"/>
  <c r="A908" i="2"/>
  <c r="N907" i="2"/>
  <c r="M907" i="2"/>
  <c r="K907" i="2"/>
  <c r="I907" i="2"/>
  <c r="H907" i="2"/>
  <c r="G907" i="2"/>
  <c r="F907" i="2"/>
  <c r="E907" i="2"/>
  <c r="D907" i="2"/>
  <c r="C907" i="2"/>
  <c r="B907" i="2"/>
  <c r="A907" i="2"/>
  <c r="N906" i="2"/>
  <c r="M906" i="2"/>
  <c r="L906" i="2"/>
  <c r="K906" i="2"/>
  <c r="I906" i="2"/>
  <c r="H906" i="2"/>
  <c r="G906" i="2"/>
  <c r="F906" i="2"/>
  <c r="E906" i="2"/>
  <c r="D906" i="2"/>
  <c r="C906" i="2"/>
  <c r="B906" i="2"/>
  <c r="A906" i="2"/>
  <c r="N905" i="2"/>
  <c r="M905" i="2"/>
  <c r="L905" i="2"/>
  <c r="K905" i="2"/>
  <c r="I905" i="2"/>
  <c r="H905" i="2"/>
  <c r="G905" i="2"/>
  <c r="F905" i="2"/>
  <c r="E905" i="2"/>
  <c r="D905" i="2"/>
  <c r="C905" i="2"/>
  <c r="B905" i="2"/>
  <c r="A905" i="2"/>
  <c r="N904" i="2"/>
  <c r="M904" i="2"/>
  <c r="L904" i="2"/>
  <c r="K904" i="2"/>
  <c r="I904" i="2"/>
  <c r="H904" i="2"/>
  <c r="G904" i="2"/>
  <c r="F904" i="2"/>
  <c r="E904" i="2"/>
  <c r="D904" i="2"/>
  <c r="C904" i="2"/>
  <c r="B904" i="2"/>
  <c r="A904" i="2"/>
  <c r="N903" i="2"/>
  <c r="M903" i="2"/>
  <c r="K903" i="2"/>
  <c r="I903" i="2"/>
  <c r="H903" i="2"/>
  <c r="G903" i="2"/>
  <c r="F903" i="2"/>
  <c r="E903" i="2"/>
  <c r="D903" i="2"/>
  <c r="C903" i="2"/>
  <c r="B903" i="2"/>
  <c r="A903" i="2"/>
  <c r="N902" i="2"/>
  <c r="M902" i="2"/>
  <c r="K902" i="2"/>
  <c r="I902" i="2"/>
  <c r="H902" i="2"/>
  <c r="G902" i="2"/>
  <c r="F902" i="2"/>
  <c r="E902" i="2"/>
  <c r="D902" i="2"/>
  <c r="C902" i="2"/>
  <c r="B902" i="2"/>
  <c r="A902" i="2"/>
  <c r="N901" i="2"/>
  <c r="M901" i="2"/>
  <c r="L901" i="2"/>
  <c r="K901" i="2"/>
  <c r="I901" i="2"/>
  <c r="H901" i="2"/>
  <c r="G901" i="2"/>
  <c r="F901" i="2"/>
  <c r="E901" i="2"/>
  <c r="D901" i="2"/>
  <c r="C901" i="2"/>
  <c r="B901" i="2"/>
  <c r="A901" i="2"/>
  <c r="N900" i="2"/>
  <c r="M900" i="2"/>
  <c r="L900" i="2"/>
  <c r="K900" i="2"/>
  <c r="I900" i="2"/>
  <c r="H900" i="2"/>
  <c r="G900" i="2"/>
  <c r="F900" i="2"/>
  <c r="E900" i="2"/>
  <c r="C900" i="2"/>
  <c r="B900" i="2"/>
  <c r="A900" i="2"/>
  <c r="N899" i="2"/>
  <c r="M899" i="2"/>
  <c r="L899" i="2"/>
  <c r="K899" i="2"/>
  <c r="I899" i="2"/>
  <c r="H899" i="2"/>
  <c r="G899" i="2"/>
  <c r="F899" i="2"/>
  <c r="E899" i="2"/>
  <c r="D899" i="2"/>
  <c r="C899" i="2"/>
  <c r="B899" i="2"/>
  <c r="A899" i="2"/>
  <c r="N898" i="2"/>
  <c r="M898" i="2"/>
  <c r="K898" i="2"/>
  <c r="I898" i="2"/>
  <c r="H898" i="2"/>
  <c r="G898" i="2"/>
  <c r="F898" i="2"/>
  <c r="E898" i="2"/>
  <c r="D898" i="2"/>
  <c r="C898" i="2"/>
  <c r="B898" i="2"/>
  <c r="A898" i="2"/>
  <c r="N897" i="2"/>
  <c r="M897" i="2"/>
  <c r="K897" i="2"/>
  <c r="I897" i="2"/>
  <c r="H897" i="2"/>
  <c r="G897" i="2"/>
  <c r="F897" i="2"/>
  <c r="E897" i="2"/>
  <c r="D897" i="2"/>
  <c r="C897" i="2"/>
  <c r="B897" i="2"/>
  <c r="A897" i="2"/>
  <c r="N896" i="2"/>
  <c r="M896" i="2"/>
  <c r="K896" i="2"/>
  <c r="I896" i="2"/>
  <c r="H896" i="2"/>
  <c r="G896" i="2"/>
  <c r="F896" i="2"/>
  <c r="E896" i="2"/>
  <c r="D896" i="2"/>
  <c r="C896" i="2"/>
  <c r="B896" i="2"/>
  <c r="A896" i="2"/>
  <c r="N895" i="2"/>
  <c r="M895" i="2"/>
  <c r="L895" i="2"/>
  <c r="K895" i="2"/>
  <c r="I895" i="2"/>
  <c r="H895" i="2"/>
  <c r="G895" i="2"/>
  <c r="F895" i="2"/>
  <c r="E895" i="2"/>
  <c r="D895" i="2"/>
  <c r="C895" i="2"/>
  <c r="B895" i="2"/>
  <c r="A895" i="2"/>
  <c r="N894" i="2"/>
  <c r="M894" i="2"/>
  <c r="L894" i="2"/>
  <c r="K894" i="2"/>
  <c r="I894" i="2"/>
  <c r="H894" i="2"/>
  <c r="G894" i="2"/>
  <c r="F894" i="2"/>
  <c r="E894" i="2"/>
  <c r="D894" i="2"/>
  <c r="C894" i="2"/>
  <c r="B894" i="2"/>
  <c r="A894" i="2"/>
  <c r="N893" i="2"/>
  <c r="M893" i="2"/>
  <c r="K893" i="2"/>
  <c r="I893" i="2"/>
  <c r="H893" i="2"/>
  <c r="G893" i="2"/>
  <c r="F893" i="2"/>
  <c r="E893" i="2"/>
  <c r="D893" i="2"/>
  <c r="C893" i="2"/>
  <c r="B893" i="2"/>
  <c r="A893" i="2"/>
  <c r="N892" i="2"/>
  <c r="M892" i="2"/>
  <c r="K892" i="2"/>
  <c r="I892" i="2"/>
  <c r="H892" i="2"/>
  <c r="G892" i="2"/>
  <c r="F892" i="2"/>
  <c r="E892" i="2"/>
  <c r="D892" i="2"/>
  <c r="C892" i="2"/>
  <c r="B892" i="2"/>
  <c r="A892" i="2"/>
  <c r="N891" i="2"/>
  <c r="M891" i="2"/>
  <c r="L891" i="2"/>
  <c r="K891" i="2"/>
  <c r="I891" i="2"/>
  <c r="H891" i="2"/>
  <c r="G891" i="2"/>
  <c r="F891" i="2"/>
  <c r="E891" i="2"/>
  <c r="D891" i="2"/>
  <c r="C891" i="2"/>
  <c r="B891" i="2"/>
  <c r="A891" i="2"/>
  <c r="N890" i="2"/>
  <c r="M890" i="2"/>
  <c r="L890" i="2"/>
  <c r="K890" i="2"/>
  <c r="I890" i="2"/>
  <c r="H890" i="2"/>
  <c r="G890" i="2"/>
  <c r="F890" i="2"/>
  <c r="E890" i="2"/>
  <c r="D890" i="2"/>
  <c r="C890" i="2"/>
  <c r="B890" i="2"/>
  <c r="A890" i="2"/>
  <c r="N889" i="2"/>
  <c r="M889" i="2"/>
  <c r="K889" i="2"/>
  <c r="I889" i="2"/>
  <c r="H889" i="2"/>
  <c r="G889" i="2"/>
  <c r="F889" i="2"/>
  <c r="E889" i="2"/>
  <c r="D889" i="2"/>
  <c r="C889" i="2"/>
  <c r="B889" i="2"/>
  <c r="A889" i="2"/>
  <c r="N888" i="2"/>
  <c r="M888" i="2"/>
  <c r="L888" i="2"/>
  <c r="K888" i="2"/>
  <c r="I888" i="2"/>
  <c r="H888" i="2"/>
  <c r="G888" i="2"/>
  <c r="F888" i="2"/>
  <c r="E888" i="2"/>
  <c r="D888" i="2"/>
  <c r="C888" i="2"/>
  <c r="B888" i="2"/>
  <c r="A888" i="2"/>
  <c r="N887" i="2"/>
  <c r="M887" i="2"/>
  <c r="L887" i="2"/>
  <c r="K887" i="2"/>
  <c r="I887" i="2"/>
  <c r="H887" i="2"/>
  <c r="G887" i="2"/>
  <c r="F887" i="2"/>
  <c r="E887" i="2"/>
  <c r="D887" i="2"/>
  <c r="C887" i="2"/>
  <c r="B887" i="2"/>
  <c r="A887" i="2"/>
  <c r="N886" i="2"/>
  <c r="M886" i="2"/>
  <c r="L886" i="2"/>
  <c r="K886" i="2"/>
  <c r="I886" i="2"/>
  <c r="H886" i="2"/>
  <c r="G886" i="2"/>
  <c r="F886" i="2"/>
  <c r="E886" i="2"/>
  <c r="D886" i="2"/>
  <c r="C886" i="2"/>
  <c r="B886" i="2"/>
  <c r="A886" i="2"/>
  <c r="N885" i="2"/>
  <c r="M885" i="2"/>
  <c r="L885" i="2"/>
  <c r="K885" i="2"/>
  <c r="I885" i="2"/>
  <c r="H885" i="2"/>
  <c r="G885" i="2"/>
  <c r="F885" i="2"/>
  <c r="E885" i="2"/>
  <c r="D885" i="2"/>
  <c r="C885" i="2"/>
  <c r="B885" i="2"/>
  <c r="A885" i="2"/>
  <c r="N884" i="2"/>
  <c r="M884" i="2"/>
  <c r="L884" i="2"/>
  <c r="K884" i="2"/>
  <c r="I884" i="2"/>
  <c r="H884" i="2"/>
  <c r="G884" i="2"/>
  <c r="F884" i="2"/>
  <c r="E884" i="2"/>
  <c r="D884" i="2"/>
  <c r="C884" i="2"/>
  <c r="B884" i="2"/>
  <c r="A884" i="2"/>
  <c r="N883" i="2"/>
  <c r="M883" i="2"/>
  <c r="L883" i="2"/>
  <c r="K883" i="2"/>
  <c r="I883" i="2"/>
  <c r="H883" i="2"/>
  <c r="G883" i="2"/>
  <c r="F883" i="2"/>
  <c r="E883" i="2"/>
  <c r="D883" i="2"/>
  <c r="C883" i="2"/>
  <c r="B883" i="2"/>
  <c r="A883" i="2"/>
  <c r="N882" i="2"/>
  <c r="M882" i="2"/>
  <c r="L882" i="2"/>
  <c r="K882" i="2"/>
  <c r="I882" i="2"/>
  <c r="H882" i="2"/>
  <c r="G882" i="2"/>
  <c r="F882" i="2"/>
  <c r="E882" i="2"/>
  <c r="D882" i="2"/>
  <c r="C882" i="2"/>
  <c r="B882" i="2"/>
  <c r="A882" i="2"/>
  <c r="N881" i="2"/>
  <c r="M881" i="2"/>
  <c r="K881" i="2"/>
  <c r="I881" i="2"/>
  <c r="H881" i="2"/>
  <c r="G881" i="2"/>
  <c r="F881" i="2"/>
  <c r="E881" i="2"/>
  <c r="D881" i="2"/>
  <c r="C881" i="2"/>
  <c r="B881" i="2"/>
  <c r="A881" i="2"/>
  <c r="N880" i="2"/>
  <c r="M880" i="2"/>
  <c r="L880" i="2"/>
  <c r="K880" i="2"/>
  <c r="I880" i="2"/>
  <c r="H880" i="2"/>
  <c r="G880" i="2"/>
  <c r="F880" i="2"/>
  <c r="E880" i="2"/>
  <c r="D880" i="2"/>
  <c r="C880" i="2"/>
  <c r="B880" i="2"/>
  <c r="A880" i="2"/>
  <c r="N879" i="2"/>
  <c r="M879" i="2"/>
  <c r="K879" i="2"/>
  <c r="I879" i="2"/>
  <c r="H879" i="2"/>
  <c r="G879" i="2"/>
  <c r="F879" i="2"/>
  <c r="E879" i="2"/>
  <c r="D879" i="2"/>
  <c r="C879" i="2"/>
  <c r="B879" i="2"/>
  <c r="A879" i="2"/>
  <c r="N878" i="2"/>
  <c r="M878" i="2"/>
  <c r="L878" i="2"/>
  <c r="K878" i="2"/>
  <c r="I878" i="2"/>
  <c r="H878" i="2"/>
  <c r="G878" i="2"/>
  <c r="F878" i="2"/>
  <c r="E878" i="2"/>
  <c r="D878" i="2"/>
  <c r="C878" i="2"/>
  <c r="B878" i="2"/>
  <c r="A878" i="2"/>
  <c r="N877" i="2"/>
  <c r="M877" i="2"/>
  <c r="L877" i="2"/>
  <c r="K877" i="2"/>
  <c r="I877" i="2"/>
  <c r="H877" i="2"/>
  <c r="G877" i="2"/>
  <c r="F877" i="2"/>
  <c r="E877" i="2"/>
  <c r="D877" i="2"/>
  <c r="C877" i="2"/>
  <c r="B877" i="2"/>
  <c r="A877" i="2"/>
  <c r="N876" i="2"/>
  <c r="M876" i="2"/>
  <c r="K876" i="2"/>
  <c r="I876" i="2"/>
  <c r="H876" i="2"/>
  <c r="G876" i="2"/>
  <c r="F876" i="2"/>
  <c r="E876" i="2"/>
  <c r="D876" i="2"/>
  <c r="C876" i="2"/>
  <c r="B876" i="2"/>
  <c r="A876" i="2"/>
  <c r="N875" i="2"/>
  <c r="M875" i="2"/>
  <c r="K875" i="2"/>
  <c r="I875" i="2"/>
  <c r="H875" i="2"/>
  <c r="G875" i="2"/>
  <c r="F875" i="2"/>
  <c r="E875" i="2"/>
  <c r="D875" i="2"/>
  <c r="C875" i="2"/>
  <c r="B875" i="2"/>
  <c r="A875" i="2"/>
  <c r="N874" i="2"/>
  <c r="M874" i="2"/>
  <c r="K874" i="2"/>
  <c r="I874" i="2"/>
  <c r="H874" i="2"/>
  <c r="G874" i="2"/>
  <c r="F874" i="2"/>
  <c r="E874" i="2"/>
  <c r="D874" i="2"/>
  <c r="C874" i="2"/>
  <c r="B874" i="2"/>
  <c r="A874" i="2"/>
  <c r="N873" i="2"/>
  <c r="M873" i="2"/>
  <c r="L873" i="2"/>
  <c r="K873" i="2"/>
  <c r="I873" i="2"/>
  <c r="H873" i="2"/>
  <c r="G873" i="2"/>
  <c r="F873" i="2"/>
  <c r="E873" i="2"/>
  <c r="D873" i="2"/>
  <c r="C873" i="2"/>
  <c r="B873" i="2"/>
  <c r="A873" i="2"/>
  <c r="N872" i="2"/>
  <c r="M872" i="2"/>
  <c r="L872" i="2"/>
  <c r="K872" i="2"/>
  <c r="I872" i="2"/>
  <c r="H872" i="2"/>
  <c r="G872" i="2"/>
  <c r="F872" i="2"/>
  <c r="E872" i="2"/>
  <c r="D872" i="2"/>
  <c r="C872" i="2"/>
  <c r="B872" i="2"/>
  <c r="A872" i="2"/>
  <c r="N871" i="2"/>
  <c r="M871" i="2"/>
  <c r="L871" i="2"/>
  <c r="K871" i="2"/>
  <c r="I871" i="2"/>
  <c r="H871" i="2"/>
  <c r="G871" i="2"/>
  <c r="F871" i="2"/>
  <c r="E871" i="2"/>
  <c r="D871" i="2"/>
  <c r="C871" i="2"/>
  <c r="B871" i="2"/>
  <c r="A871" i="2"/>
  <c r="N870" i="2"/>
  <c r="M870" i="2"/>
  <c r="L870" i="2"/>
  <c r="K870" i="2"/>
  <c r="I870" i="2"/>
  <c r="H870" i="2"/>
  <c r="G870" i="2"/>
  <c r="F870" i="2"/>
  <c r="E870" i="2"/>
  <c r="D870" i="2"/>
  <c r="C870" i="2"/>
  <c r="B870" i="2"/>
  <c r="A870" i="2"/>
  <c r="N869" i="2"/>
  <c r="M869" i="2"/>
  <c r="K869" i="2"/>
  <c r="I869" i="2"/>
  <c r="H869" i="2"/>
  <c r="G869" i="2"/>
  <c r="F869" i="2"/>
  <c r="E869" i="2"/>
  <c r="D869" i="2"/>
  <c r="C869" i="2"/>
  <c r="B869" i="2"/>
  <c r="A869" i="2"/>
  <c r="N868" i="2"/>
  <c r="M868" i="2"/>
  <c r="L868" i="2"/>
  <c r="K868" i="2"/>
  <c r="I868" i="2"/>
  <c r="H868" i="2"/>
  <c r="G868" i="2"/>
  <c r="F868" i="2"/>
  <c r="E868" i="2"/>
  <c r="D868" i="2"/>
  <c r="C868" i="2"/>
  <c r="B868" i="2"/>
  <c r="A868" i="2"/>
  <c r="N867" i="2"/>
  <c r="M867" i="2"/>
  <c r="L867" i="2"/>
  <c r="K867" i="2"/>
  <c r="I867" i="2"/>
  <c r="H867" i="2"/>
  <c r="G867" i="2"/>
  <c r="F867" i="2"/>
  <c r="E867" i="2"/>
  <c r="D867" i="2"/>
  <c r="C867" i="2"/>
  <c r="B867" i="2"/>
  <c r="A867" i="2"/>
  <c r="N866" i="2"/>
  <c r="M866" i="2"/>
  <c r="L866" i="2"/>
  <c r="K866" i="2"/>
  <c r="I866" i="2"/>
  <c r="H866" i="2"/>
  <c r="G866" i="2"/>
  <c r="F866" i="2"/>
  <c r="E866" i="2"/>
  <c r="D866" i="2"/>
  <c r="C866" i="2"/>
  <c r="B866" i="2"/>
  <c r="A866" i="2"/>
  <c r="N865" i="2"/>
  <c r="M865" i="2"/>
  <c r="L865" i="2"/>
  <c r="K865" i="2"/>
  <c r="I865" i="2"/>
  <c r="H865" i="2"/>
  <c r="G865" i="2"/>
  <c r="F865" i="2"/>
  <c r="E865" i="2"/>
  <c r="D865" i="2"/>
  <c r="C865" i="2"/>
  <c r="B865" i="2"/>
  <c r="A865" i="2"/>
  <c r="N864" i="2"/>
  <c r="M864" i="2"/>
  <c r="L864" i="2"/>
  <c r="K864" i="2"/>
  <c r="I864" i="2"/>
  <c r="H864" i="2"/>
  <c r="G864" i="2"/>
  <c r="F864" i="2"/>
  <c r="E864" i="2"/>
  <c r="D864" i="2"/>
  <c r="C864" i="2"/>
  <c r="B864" i="2"/>
  <c r="A864" i="2"/>
  <c r="N863" i="2"/>
  <c r="M863" i="2"/>
  <c r="L863" i="2"/>
  <c r="K863" i="2"/>
  <c r="I863" i="2"/>
  <c r="H863" i="2"/>
  <c r="G863" i="2"/>
  <c r="F863" i="2"/>
  <c r="E863" i="2"/>
  <c r="D863" i="2"/>
  <c r="C863" i="2"/>
  <c r="B863" i="2"/>
  <c r="A863" i="2"/>
  <c r="N862" i="2"/>
  <c r="M862" i="2"/>
  <c r="L862" i="2"/>
  <c r="K862" i="2"/>
  <c r="I862" i="2"/>
  <c r="H862" i="2"/>
  <c r="G862" i="2"/>
  <c r="F862" i="2"/>
  <c r="E862" i="2"/>
  <c r="D862" i="2"/>
  <c r="C862" i="2"/>
  <c r="B862" i="2"/>
  <c r="A862" i="2"/>
  <c r="N861" i="2"/>
  <c r="M861" i="2"/>
  <c r="K861" i="2"/>
  <c r="I861" i="2"/>
  <c r="H861" i="2"/>
  <c r="G861" i="2"/>
  <c r="F861" i="2"/>
  <c r="E861" i="2"/>
  <c r="D861" i="2"/>
  <c r="C861" i="2"/>
  <c r="B861" i="2"/>
  <c r="A861" i="2"/>
  <c r="N860" i="2"/>
  <c r="M860" i="2"/>
  <c r="L860" i="2"/>
  <c r="K860" i="2"/>
  <c r="I860" i="2"/>
  <c r="H860" i="2"/>
  <c r="G860" i="2"/>
  <c r="F860" i="2"/>
  <c r="E860" i="2"/>
  <c r="D860" i="2"/>
  <c r="C860" i="2"/>
  <c r="B860" i="2"/>
  <c r="A860" i="2"/>
  <c r="N859" i="2"/>
  <c r="M859" i="2"/>
  <c r="K859" i="2"/>
  <c r="I859" i="2"/>
  <c r="H859" i="2"/>
  <c r="G859" i="2"/>
  <c r="F859" i="2"/>
  <c r="E859" i="2"/>
  <c r="D859" i="2"/>
  <c r="C859" i="2"/>
  <c r="B859" i="2"/>
  <c r="A859" i="2"/>
  <c r="N858" i="2"/>
  <c r="M858" i="2"/>
  <c r="L858" i="2"/>
  <c r="K858" i="2"/>
  <c r="I858" i="2"/>
  <c r="H858" i="2"/>
  <c r="G858" i="2"/>
  <c r="F858" i="2"/>
  <c r="E858" i="2"/>
  <c r="D858" i="2"/>
  <c r="C858" i="2"/>
  <c r="B858" i="2"/>
  <c r="A858" i="2"/>
  <c r="M857" i="2"/>
  <c r="I857" i="2"/>
  <c r="H857" i="2"/>
  <c r="G857" i="2"/>
  <c r="F857" i="2"/>
  <c r="E857" i="2"/>
  <c r="D857" i="2"/>
  <c r="C857" i="2"/>
  <c r="B857" i="2"/>
  <c r="N856" i="2"/>
  <c r="M856" i="2"/>
  <c r="L856" i="2"/>
  <c r="K856" i="2"/>
  <c r="I856" i="2"/>
  <c r="H856" i="2"/>
  <c r="G856" i="2"/>
  <c r="F856" i="2"/>
  <c r="E856" i="2"/>
  <c r="D856" i="2"/>
  <c r="C856" i="2"/>
  <c r="B856" i="2"/>
  <c r="A856" i="2"/>
  <c r="N855" i="2"/>
  <c r="M855" i="2"/>
  <c r="L855" i="2"/>
  <c r="K855" i="2"/>
  <c r="I855" i="2"/>
  <c r="H855" i="2"/>
  <c r="G855" i="2"/>
  <c r="F855" i="2"/>
  <c r="E855" i="2"/>
  <c r="D855" i="2"/>
  <c r="C855" i="2"/>
  <c r="B855" i="2"/>
  <c r="A855" i="2"/>
  <c r="N854" i="2"/>
  <c r="M854" i="2"/>
  <c r="K854" i="2"/>
  <c r="I854" i="2"/>
  <c r="H854" i="2"/>
  <c r="G854" i="2"/>
  <c r="F854" i="2"/>
  <c r="E854" i="2"/>
  <c r="D854" i="2"/>
  <c r="C854" i="2"/>
  <c r="B854" i="2"/>
  <c r="A854" i="2"/>
  <c r="N853" i="2"/>
  <c r="M853" i="2"/>
  <c r="K853" i="2"/>
  <c r="I853" i="2"/>
  <c r="H853" i="2"/>
  <c r="G853" i="2"/>
  <c r="F853" i="2"/>
  <c r="E853" i="2"/>
  <c r="D853" i="2"/>
  <c r="C853" i="2"/>
  <c r="B853" i="2"/>
  <c r="A853" i="2"/>
  <c r="N852" i="2"/>
  <c r="M852" i="2"/>
  <c r="L852" i="2"/>
  <c r="K852" i="2"/>
  <c r="I852" i="2"/>
  <c r="H852" i="2"/>
  <c r="G852" i="2"/>
  <c r="F852" i="2"/>
  <c r="E852" i="2"/>
  <c r="D852" i="2"/>
  <c r="C852" i="2"/>
  <c r="B852" i="2"/>
  <c r="A852" i="2"/>
  <c r="N851" i="2"/>
  <c r="M851" i="2"/>
  <c r="K851" i="2"/>
  <c r="I851" i="2"/>
  <c r="H851" i="2"/>
  <c r="G851" i="2"/>
  <c r="F851" i="2"/>
  <c r="E851" i="2"/>
  <c r="D851" i="2"/>
  <c r="C851" i="2"/>
  <c r="B851" i="2"/>
  <c r="A851" i="2"/>
  <c r="N850" i="2"/>
  <c r="M850" i="2"/>
  <c r="K850" i="2"/>
  <c r="I850" i="2"/>
  <c r="H850" i="2"/>
  <c r="G850" i="2"/>
  <c r="F850" i="2"/>
  <c r="E850" i="2"/>
  <c r="D850" i="2"/>
  <c r="C850" i="2"/>
  <c r="B850" i="2"/>
  <c r="A850" i="2"/>
  <c r="N849" i="2"/>
  <c r="M849" i="2"/>
  <c r="K849" i="2"/>
  <c r="I849" i="2"/>
  <c r="H849" i="2"/>
  <c r="G849" i="2"/>
  <c r="F849" i="2"/>
  <c r="E849" i="2"/>
  <c r="D849" i="2"/>
  <c r="C849" i="2"/>
  <c r="B849" i="2"/>
  <c r="A849" i="2"/>
  <c r="N848" i="2"/>
  <c r="M848" i="2"/>
  <c r="L848" i="2"/>
  <c r="K848" i="2"/>
  <c r="I848" i="2"/>
  <c r="H848" i="2"/>
  <c r="G848" i="2"/>
  <c r="F848" i="2"/>
  <c r="E848" i="2"/>
  <c r="D848" i="2"/>
  <c r="C848" i="2"/>
  <c r="B848" i="2"/>
  <c r="A848" i="2"/>
  <c r="N847" i="2"/>
  <c r="M847" i="2"/>
  <c r="L847" i="2"/>
  <c r="K847" i="2"/>
  <c r="I847" i="2"/>
  <c r="H847" i="2"/>
  <c r="G847" i="2"/>
  <c r="F847" i="2"/>
  <c r="E847" i="2"/>
  <c r="D847" i="2"/>
  <c r="C847" i="2"/>
  <c r="B847" i="2"/>
  <c r="A847" i="2"/>
  <c r="N846" i="2"/>
  <c r="M846" i="2"/>
  <c r="K846" i="2"/>
  <c r="I846" i="2"/>
  <c r="H846" i="2"/>
  <c r="G846" i="2"/>
  <c r="F846" i="2"/>
  <c r="E846" i="2"/>
  <c r="D846" i="2"/>
  <c r="C846" i="2"/>
  <c r="B846" i="2"/>
  <c r="A846" i="2"/>
  <c r="N845" i="2"/>
  <c r="M845" i="2"/>
  <c r="L845" i="2"/>
  <c r="K845" i="2"/>
  <c r="I845" i="2"/>
  <c r="H845" i="2"/>
  <c r="G845" i="2"/>
  <c r="F845" i="2"/>
  <c r="E845" i="2"/>
  <c r="D845" i="2"/>
  <c r="C845" i="2"/>
  <c r="B845" i="2"/>
  <c r="A845" i="2"/>
  <c r="N844" i="2"/>
  <c r="M844" i="2"/>
  <c r="L844" i="2"/>
  <c r="K844" i="2"/>
  <c r="I844" i="2"/>
  <c r="H844" i="2"/>
  <c r="G844" i="2"/>
  <c r="F844" i="2"/>
  <c r="E844" i="2"/>
  <c r="D844" i="2"/>
  <c r="C844" i="2"/>
  <c r="B844" i="2"/>
  <c r="A844" i="2"/>
  <c r="N843" i="2"/>
  <c r="M843" i="2"/>
  <c r="K843" i="2"/>
  <c r="I843" i="2"/>
  <c r="H843" i="2"/>
  <c r="G843" i="2"/>
  <c r="F843" i="2"/>
  <c r="E843" i="2"/>
  <c r="D843" i="2"/>
  <c r="C843" i="2"/>
  <c r="B843" i="2"/>
  <c r="A843" i="2"/>
  <c r="N842" i="2"/>
  <c r="M842" i="2"/>
  <c r="L842" i="2"/>
  <c r="K842" i="2"/>
  <c r="I842" i="2"/>
  <c r="H842" i="2"/>
  <c r="G842" i="2"/>
  <c r="F842" i="2"/>
  <c r="E842" i="2"/>
  <c r="D842" i="2"/>
  <c r="C842" i="2"/>
  <c r="B842" i="2"/>
  <c r="A842" i="2"/>
  <c r="N841" i="2"/>
  <c r="M841" i="2"/>
  <c r="K841" i="2"/>
  <c r="I841" i="2"/>
  <c r="H841" i="2"/>
  <c r="G841" i="2"/>
  <c r="F841" i="2"/>
  <c r="E841" i="2"/>
  <c r="D841" i="2"/>
  <c r="C841" i="2"/>
  <c r="B841" i="2"/>
  <c r="A841" i="2"/>
  <c r="N840" i="2"/>
  <c r="M840" i="2"/>
  <c r="L840" i="2"/>
  <c r="K840" i="2"/>
  <c r="I840" i="2"/>
  <c r="H840" i="2"/>
  <c r="G840" i="2"/>
  <c r="F840" i="2"/>
  <c r="E840" i="2"/>
  <c r="C840" i="2"/>
  <c r="B840" i="2"/>
  <c r="A840" i="2"/>
  <c r="N839" i="2"/>
  <c r="M839" i="2"/>
  <c r="I839" i="2"/>
  <c r="H839" i="2"/>
  <c r="G839" i="2"/>
  <c r="F839" i="2"/>
  <c r="E839" i="2"/>
  <c r="C839" i="2"/>
  <c r="B839" i="2"/>
  <c r="A839" i="2"/>
  <c r="N838" i="2"/>
  <c r="M838" i="2"/>
  <c r="K838" i="2"/>
  <c r="I838" i="2"/>
  <c r="H838" i="2"/>
  <c r="G838" i="2"/>
  <c r="F838" i="2"/>
  <c r="E838" i="2"/>
  <c r="D838" i="2"/>
  <c r="C838" i="2"/>
  <c r="B838" i="2"/>
  <c r="A838" i="2"/>
  <c r="N837" i="2"/>
  <c r="M837" i="2"/>
  <c r="L837" i="2"/>
  <c r="K837" i="2"/>
  <c r="I837" i="2"/>
  <c r="H837" i="2"/>
  <c r="G837" i="2"/>
  <c r="F837" i="2"/>
  <c r="E837" i="2"/>
  <c r="D837" i="2"/>
  <c r="C837" i="2"/>
  <c r="B837" i="2"/>
  <c r="A837" i="2"/>
  <c r="N836" i="2"/>
  <c r="M836" i="2"/>
  <c r="K836" i="2"/>
  <c r="I836" i="2"/>
  <c r="H836" i="2"/>
  <c r="G836" i="2"/>
  <c r="F836" i="2"/>
  <c r="E836" i="2"/>
  <c r="D836" i="2"/>
  <c r="C836" i="2"/>
  <c r="B836" i="2"/>
  <c r="A836" i="2"/>
  <c r="N835" i="2"/>
  <c r="M835" i="2"/>
  <c r="L835" i="2"/>
  <c r="K835" i="2"/>
  <c r="I835" i="2"/>
  <c r="H835" i="2"/>
  <c r="G835" i="2"/>
  <c r="F835" i="2"/>
  <c r="E835" i="2"/>
  <c r="D835" i="2"/>
  <c r="C835" i="2"/>
  <c r="B835" i="2"/>
  <c r="A835" i="2"/>
  <c r="N834" i="2"/>
  <c r="M834" i="2"/>
  <c r="K834" i="2"/>
  <c r="I834" i="2"/>
  <c r="H834" i="2"/>
  <c r="G834" i="2"/>
  <c r="F834" i="2"/>
  <c r="E834" i="2"/>
  <c r="C834" i="2"/>
  <c r="B834" i="2"/>
  <c r="A834" i="2"/>
  <c r="N833" i="2"/>
  <c r="M833" i="2"/>
  <c r="L833" i="2"/>
  <c r="K833" i="2"/>
  <c r="I833" i="2"/>
  <c r="H833" i="2"/>
  <c r="G833" i="2"/>
  <c r="F833" i="2"/>
  <c r="E833" i="2"/>
  <c r="D833" i="2"/>
  <c r="C833" i="2"/>
  <c r="B833" i="2"/>
  <c r="A833" i="2"/>
  <c r="N832" i="2"/>
  <c r="M832" i="2"/>
  <c r="L832" i="2"/>
  <c r="K832" i="2"/>
  <c r="I832" i="2"/>
  <c r="H832" i="2"/>
  <c r="G832" i="2"/>
  <c r="F832" i="2"/>
  <c r="E832" i="2"/>
  <c r="D832" i="2"/>
  <c r="C832" i="2"/>
  <c r="B832" i="2"/>
  <c r="A832" i="2"/>
  <c r="N831" i="2"/>
  <c r="M831" i="2"/>
  <c r="K831" i="2"/>
  <c r="I831" i="2"/>
  <c r="H831" i="2"/>
  <c r="G831" i="2"/>
  <c r="F831" i="2"/>
  <c r="E831" i="2"/>
  <c r="D831" i="2"/>
  <c r="C831" i="2"/>
  <c r="B831" i="2"/>
  <c r="A831" i="2"/>
  <c r="N830" i="2"/>
  <c r="M830" i="2"/>
  <c r="K830" i="2"/>
  <c r="I830" i="2"/>
  <c r="H830" i="2"/>
  <c r="G830" i="2"/>
  <c r="F830" i="2"/>
  <c r="E830" i="2"/>
  <c r="D830" i="2"/>
  <c r="C830" i="2"/>
  <c r="B830" i="2"/>
  <c r="A830" i="2"/>
  <c r="N829" i="2"/>
  <c r="M829" i="2"/>
  <c r="K829" i="2"/>
  <c r="I829" i="2"/>
  <c r="H829" i="2"/>
  <c r="G829" i="2"/>
  <c r="F829" i="2"/>
  <c r="E829" i="2"/>
  <c r="D829" i="2"/>
  <c r="C829" i="2"/>
  <c r="B829" i="2"/>
  <c r="A829" i="2"/>
  <c r="N828" i="2"/>
  <c r="M828" i="2"/>
  <c r="K828" i="2"/>
  <c r="I828" i="2"/>
  <c r="H828" i="2"/>
  <c r="G828" i="2"/>
  <c r="F828" i="2"/>
  <c r="E828" i="2"/>
  <c r="D828" i="2"/>
  <c r="C828" i="2"/>
  <c r="B828" i="2"/>
  <c r="A828" i="2"/>
  <c r="N827" i="2"/>
  <c r="M827" i="2"/>
  <c r="K827" i="2"/>
  <c r="I827" i="2"/>
  <c r="H827" i="2"/>
  <c r="G827" i="2"/>
  <c r="F827" i="2"/>
  <c r="E827" i="2"/>
  <c r="D827" i="2"/>
  <c r="C827" i="2"/>
  <c r="B827" i="2"/>
  <c r="A827" i="2"/>
  <c r="N826" i="2"/>
  <c r="M826" i="2"/>
  <c r="L826" i="2"/>
  <c r="K826" i="2"/>
  <c r="I826" i="2"/>
  <c r="H826" i="2"/>
  <c r="G826" i="2"/>
  <c r="F826" i="2"/>
  <c r="E826" i="2"/>
  <c r="D826" i="2"/>
  <c r="C826" i="2"/>
  <c r="B826" i="2"/>
  <c r="A826" i="2"/>
  <c r="N825" i="2"/>
  <c r="M825" i="2"/>
  <c r="K825" i="2"/>
  <c r="I825" i="2"/>
  <c r="H825" i="2"/>
  <c r="G825" i="2"/>
  <c r="F825" i="2"/>
  <c r="E825" i="2"/>
  <c r="D825" i="2"/>
  <c r="C825" i="2"/>
  <c r="B825" i="2"/>
  <c r="A825" i="2"/>
  <c r="N824" i="2"/>
  <c r="M824" i="2"/>
  <c r="L824" i="2"/>
  <c r="K824" i="2"/>
  <c r="I824" i="2"/>
  <c r="H824" i="2"/>
  <c r="G824" i="2"/>
  <c r="F824" i="2"/>
  <c r="E824" i="2"/>
  <c r="D824" i="2"/>
  <c r="C824" i="2"/>
  <c r="B824" i="2"/>
  <c r="A824" i="2"/>
  <c r="N823" i="2"/>
  <c r="M823" i="2"/>
  <c r="L823" i="2"/>
  <c r="K823" i="2"/>
  <c r="I823" i="2"/>
  <c r="H823" i="2"/>
  <c r="G823" i="2"/>
  <c r="F823" i="2"/>
  <c r="E823" i="2"/>
  <c r="D823" i="2"/>
  <c r="C823" i="2"/>
  <c r="B823" i="2"/>
  <c r="A823" i="2"/>
  <c r="N822" i="2"/>
  <c r="M822" i="2"/>
  <c r="L822" i="2"/>
  <c r="K822" i="2"/>
  <c r="I822" i="2"/>
  <c r="H822" i="2"/>
  <c r="G822" i="2"/>
  <c r="F822" i="2"/>
  <c r="E822" i="2"/>
  <c r="D822" i="2"/>
  <c r="C822" i="2"/>
  <c r="B822" i="2"/>
  <c r="A822" i="2"/>
  <c r="N821" i="2"/>
  <c r="M821" i="2"/>
  <c r="L821" i="2"/>
  <c r="K821" i="2"/>
  <c r="I821" i="2"/>
  <c r="H821" i="2"/>
  <c r="G821" i="2"/>
  <c r="F821" i="2"/>
  <c r="E821" i="2"/>
  <c r="D821" i="2"/>
  <c r="C821" i="2"/>
  <c r="B821" i="2"/>
  <c r="A821" i="2"/>
  <c r="N820" i="2"/>
  <c r="M820" i="2"/>
  <c r="L820" i="2"/>
  <c r="K820" i="2"/>
  <c r="I820" i="2"/>
  <c r="H820" i="2"/>
  <c r="G820" i="2"/>
  <c r="F820" i="2"/>
  <c r="E820" i="2"/>
  <c r="D820" i="2"/>
  <c r="C820" i="2"/>
  <c r="B820" i="2"/>
  <c r="A820" i="2"/>
  <c r="N819" i="2"/>
  <c r="M819" i="2"/>
  <c r="K819" i="2"/>
  <c r="I819" i="2"/>
  <c r="H819" i="2"/>
  <c r="G819" i="2"/>
  <c r="F819" i="2"/>
  <c r="E819" i="2"/>
  <c r="D819" i="2"/>
  <c r="C819" i="2"/>
  <c r="B819" i="2"/>
  <c r="A819" i="2"/>
  <c r="N818" i="2"/>
  <c r="M818" i="2"/>
  <c r="L818" i="2"/>
  <c r="K818" i="2"/>
  <c r="I818" i="2"/>
  <c r="H818" i="2"/>
  <c r="G818" i="2"/>
  <c r="F818" i="2"/>
  <c r="E818" i="2"/>
  <c r="D818" i="2"/>
  <c r="C818" i="2"/>
  <c r="B818" i="2"/>
  <c r="A818" i="2"/>
  <c r="N817" i="2"/>
  <c r="M817" i="2"/>
  <c r="K817" i="2"/>
  <c r="I817" i="2"/>
  <c r="H817" i="2"/>
  <c r="G817" i="2"/>
  <c r="F817" i="2"/>
  <c r="E817" i="2"/>
  <c r="D817" i="2"/>
  <c r="C817" i="2"/>
  <c r="B817" i="2"/>
  <c r="A817" i="2"/>
  <c r="N816" i="2"/>
  <c r="M816" i="2"/>
  <c r="K816" i="2"/>
  <c r="I816" i="2"/>
  <c r="H816" i="2"/>
  <c r="G816" i="2"/>
  <c r="F816" i="2"/>
  <c r="E816" i="2"/>
  <c r="D816" i="2"/>
  <c r="C816" i="2"/>
  <c r="B816" i="2"/>
  <c r="A816" i="2"/>
  <c r="N815" i="2"/>
  <c r="M815" i="2"/>
  <c r="L815" i="2"/>
  <c r="K815" i="2"/>
  <c r="I815" i="2"/>
  <c r="H815" i="2"/>
  <c r="G815" i="2"/>
  <c r="F815" i="2"/>
  <c r="E815" i="2"/>
  <c r="D815" i="2"/>
  <c r="C815" i="2"/>
  <c r="B815" i="2"/>
  <c r="A815" i="2"/>
  <c r="N814" i="2"/>
  <c r="M814" i="2"/>
  <c r="L814" i="2"/>
  <c r="K814" i="2"/>
  <c r="I814" i="2"/>
  <c r="H814" i="2"/>
  <c r="G814" i="2"/>
  <c r="F814" i="2"/>
  <c r="E814" i="2"/>
  <c r="C814" i="2"/>
  <c r="B814" i="2"/>
  <c r="A814" i="2"/>
  <c r="N813" i="2"/>
  <c r="M813" i="2"/>
  <c r="L813" i="2"/>
  <c r="K813" i="2"/>
  <c r="I813" i="2"/>
  <c r="H813" i="2"/>
  <c r="G813" i="2"/>
  <c r="F813" i="2"/>
  <c r="E813" i="2"/>
  <c r="D813" i="2"/>
  <c r="C813" i="2"/>
  <c r="B813" i="2"/>
  <c r="A813" i="2"/>
  <c r="N812" i="2"/>
  <c r="M812" i="2"/>
  <c r="K812" i="2"/>
  <c r="I812" i="2"/>
  <c r="H812" i="2"/>
  <c r="G812" i="2"/>
  <c r="F812" i="2"/>
  <c r="E812" i="2"/>
  <c r="D812" i="2"/>
  <c r="C812" i="2"/>
  <c r="B812" i="2"/>
  <c r="A812" i="2"/>
  <c r="N811" i="2"/>
  <c r="M811" i="2"/>
  <c r="L811" i="2"/>
  <c r="K811" i="2"/>
  <c r="I811" i="2"/>
  <c r="H811" i="2"/>
  <c r="G811" i="2"/>
  <c r="F811" i="2"/>
  <c r="E811" i="2"/>
  <c r="D811" i="2"/>
  <c r="C811" i="2"/>
  <c r="B811" i="2"/>
  <c r="A811" i="2"/>
  <c r="N810" i="2"/>
  <c r="M810" i="2"/>
  <c r="L810" i="2"/>
  <c r="K810" i="2"/>
  <c r="I810" i="2"/>
  <c r="H810" i="2"/>
  <c r="G810" i="2"/>
  <c r="F810" i="2"/>
  <c r="E810" i="2"/>
  <c r="D810" i="2"/>
  <c r="C810" i="2"/>
  <c r="B810" i="2"/>
  <c r="A810" i="2"/>
  <c r="N809" i="2"/>
  <c r="M809" i="2"/>
  <c r="K809" i="2"/>
  <c r="I809" i="2"/>
  <c r="H809" i="2"/>
  <c r="G809" i="2"/>
  <c r="F809" i="2"/>
  <c r="E809" i="2"/>
  <c r="D809" i="2"/>
  <c r="C809" i="2"/>
  <c r="B809" i="2"/>
  <c r="A809" i="2"/>
  <c r="N808" i="2"/>
  <c r="M808" i="2"/>
  <c r="L808" i="2"/>
  <c r="K808" i="2"/>
  <c r="I808" i="2"/>
  <c r="H808" i="2"/>
  <c r="G808" i="2"/>
  <c r="F808" i="2"/>
  <c r="E808" i="2"/>
  <c r="D808" i="2"/>
  <c r="C808" i="2"/>
  <c r="B808" i="2"/>
  <c r="A808" i="2"/>
  <c r="N807" i="2"/>
  <c r="M807" i="2"/>
  <c r="K807" i="2"/>
  <c r="I807" i="2"/>
  <c r="H807" i="2"/>
  <c r="G807" i="2"/>
  <c r="F807" i="2"/>
  <c r="E807" i="2"/>
  <c r="D807" i="2"/>
  <c r="C807" i="2"/>
  <c r="B807" i="2"/>
  <c r="A807" i="2"/>
  <c r="N806" i="2"/>
  <c r="M806" i="2"/>
  <c r="L806" i="2"/>
  <c r="K806" i="2"/>
  <c r="I806" i="2"/>
  <c r="H806" i="2"/>
  <c r="G806" i="2"/>
  <c r="F806" i="2"/>
  <c r="E806" i="2"/>
  <c r="D806" i="2"/>
  <c r="C806" i="2"/>
  <c r="B806" i="2"/>
  <c r="A806" i="2"/>
  <c r="N805" i="2"/>
  <c r="M805" i="2"/>
  <c r="L805" i="2"/>
  <c r="K805" i="2"/>
  <c r="I805" i="2"/>
  <c r="H805" i="2"/>
  <c r="G805" i="2"/>
  <c r="F805" i="2"/>
  <c r="E805" i="2"/>
  <c r="D805" i="2"/>
  <c r="C805" i="2"/>
  <c r="B805" i="2"/>
  <c r="A805" i="2"/>
  <c r="N804" i="2"/>
  <c r="M804" i="2"/>
  <c r="L804" i="2"/>
  <c r="K804" i="2"/>
  <c r="I804" i="2"/>
  <c r="H804" i="2"/>
  <c r="G804" i="2"/>
  <c r="F804" i="2"/>
  <c r="E804" i="2"/>
  <c r="D804" i="2"/>
  <c r="C804" i="2"/>
  <c r="B804" i="2"/>
  <c r="A804" i="2"/>
  <c r="N803" i="2"/>
  <c r="M803" i="2"/>
  <c r="L803" i="2"/>
  <c r="K803" i="2"/>
  <c r="I803" i="2"/>
  <c r="H803" i="2"/>
  <c r="G803" i="2"/>
  <c r="F803" i="2"/>
  <c r="E803" i="2"/>
  <c r="D803" i="2"/>
  <c r="C803" i="2"/>
  <c r="B803" i="2"/>
  <c r="A803" i="2"/>
  <c r="N802" i="2"/>
  <c r="M802" i="2"/>
  <c r="L802" i="2"/>
  <c r="K802" i="2"/>
  <c r="I802" i="2"/>
  <c r="H802" i="2"/>
  <c r="G802" i="2"/>
  <c r="F802" i="2"/>
  <c r="E802" i="2"/>
  <c r="D802" i="2"/>
  <c r="C802" i="2"/>
  <c r="B802" i="2"/>
  <c r="A802" i="2"/>
  <c r="N801" i="2"/>
  <c r="M801" i="2"/>
  <c r="L801" i="2"/>
  <c r="K801" i="2"/>
  <c r="I801" i="2"/>
  <c r="H801" i="2"/>
  <c r="G801" i="2"/>
  <c r="F801" i="2"/>
  <c r="E801" i="2"/>
  <c r="C801" i="2"/>
  <c r="B801" i="2"/>
  <c r="A801" i="2"/>
  <c r="N800" i="2"/>
  <c r="M800" i="2"/>
  <c r="L800" i="2"/>
  <c r="K800" i="2"/>
  <c r="I800" i="2"/>
  <c r="H800" i="2"/>
  <c r="G800" i="2"/>
  <c r="F800" i="2"/>
  <c r="E800" i="2"/>
  <c r="D800" i="2"/>
  <c r="C800" i="2"/>
  <c r="B800" i="2"/>
  <c r="A800" i="2"/>
  <c r="N799" i="2"/>
  <c r="M799" i="2"/>
  <c r="K799" i="2"/>
  <c r="I799" i="2"/>
  <c r="H799" i="2"/>
  <c r="G799" i="2"/>
  <c r="F799" i="2"/>
  <c r="E799" i="2"/>
  <c r="D799" i="2"/>
  <c r="C799" i="2"/>
  <c r="B799" i="2"/>
  <c r="A799" i="2"/>
  <c r="N798" i="2"/>
  <c r="M798" i="2"/>
  <c r="L798" i="2"/>
  <c r="K798" i="2"/>
  <c r="I798" i="2"/>
  <c r="H798" i="2"/>
  <c r="G798" i="2"/>
  <c r="F798" i="2"/>
  <c r="E798" i="2"/>
  <c r="D798" i="2"/>
  <c r="C798" i="2"/>
  <c r="B798" i="2"/>
  <c r="A798" i="2"/>
  <c r="N797" i="2"/>
  <c r="M797" i="2"/>
  <c r="K797" i="2"/>
  <c r="I797" i="2"/>
  <c r="H797" i="2"/>
  <c r="G797" i="2"/>
  <c r="F797" i="2"/>
  <c r="E797" i="2"/>
  <c r="D797" i="2"/>
  <c r="C797" i="2"/>
  <c r="B797" i="2"/>
  <c r="A797" i="2"/>
  <c r="N796" i="2"/>
  <c r="M796" i="2"/>
  <c r="K796" i="2"/>
  <c r="I796" i="2"/>
  <c r="H796" i="2"/>
  <c r="G796" i="2"/>
  <c r="F796" i="2"/>
  <c r="E796" i="2"/>
  <c r="D796" i="2"/>
  <c r="C796" i="2"/>
  <c r="B796" i="2"/>
  <c r="A796" i="2"/>
  <c r="N795" i="2"/>
  <c r="M795" i="2"/>
  <c r="K795" i="2"/>
  <c r="I795" i="2"/>
  <c r="H795" i="2"/>
  <c r="G795" i="2"/>
  <c r="F795" i="2"/>
  <c r="E795" i="2"/>
  <c r="D795" i="2"/>
  <c r="C795" i="2"/>
  <c r="B795" i="2"/>
  <c r="A795" i="2"/>
  <c r="N794" i="2"/>
  <c r="M794" i="2"/>
  <c r="L794" i="2"/>
  <c r="K794" i="2"/>
  <c r="I794" i="2"/>
  <c r="H794" i="2"/>
  <c r="G794" i="2"/>
  <c r="F794" i="2"/>
  <c r="E794" i="2"/>
  <c r="D794" i="2"/>
  <c r="C794" i="2"/>
  <c r="B794" i="2"/>
  <c r="A794" i="2"/>
  <c r="N793" i="2"/>
  <c r="M793" i="2"/>
  <c r="K793" i="2"/>
  <c r="I793" i="2"/>
  <c r="H793" i="2"/>
  <c r="G793" i="2"/>
  <c r="F793" i="2"/>
  <c r="E793" i="2"/>
  <c r="C793" i="2"/>
  <c r="B793" i="2"/>
  <c r="N792" i="2"/>
  <c r="M792" i="2"/>
  <c r="L792" i="2"/>
  <c r="K792" i="2"/>
  <c r="I792" i="2"/>
  <c r="H792" i="2"/>
  <c r="G792" i="2"/>
  <c r="F792" i="2"/>
  <c r="E792" i="2"/>
  <c r="D792" i="2"/>
  <c r="C792" i="2"/>
  <c r="B792" i="2"/>
  <c r="A792" i="2"/>
  <c r="N791" i="2"/>
  <c r="M791" i="2"/>
  <c r="K791" i="2"/>
  <c r="I791" i="2"/>
  <c r="H791" i="2"/>
  <c r="G791" i="2"/>
  <c r="F791" i="2"/>
  <c r="E791" i="2"/>
  <c r="D791" i="2"/>
  <c r="C791" i="2"/>
  <c r="B791" i="2"/>
  <c r="A791" i="2"/>
  <c r="N790" i="2"/>
  <c r="M790" i="2"/>
  <c r="L790" i="2"/>
  <c r="K790" i="2"/>
  <c r="I790" i="2"/>
  <c r="H790" i="2"/>
  <c r="G790" i="2"/>
  <c r="F790" i="2"/>
  <c r="E790" i="2"/>
  <c r="D790" i="2"/>
  <c r="C790" i="2"/>
  <c r="B790" i="2"/>
  <c r="A790" i="2"/>
  <c r="N789" i="2"/>
  <c r="M789" i="2"/>
  <c r="K789" i="2"/>
  <c r="I789" i="2"/>
  <c r="H789" i="2"/>
  <c r="G789" i="2"/>
  <c r="F789" i="2"/>
  <c r="E789" i="2"/>
  <c r="C789" i="2"/>
  <c r="B789" i="2"/>
  <c r="A789" i="2"/>
  <c r="N788" i="2"/>
  <c r="M788" i="2"/>
  <c r="L788" i="2"/>
  <c r="K788" i="2"/>
  <c r="I788" i="2"/>
  <c r="H788" i="2"/>
  <c r="G788" i="2"/>
  <c r="F788" i="2"/>
  <c r="E788" i="2"/>
  <c r="D788" i="2"/>
  <c r="C788" i="2"/>
  <c r="B788" i="2"/>
  <c r="A788" i="2"/>
  <c r="N787" i="2"/>
  <c r="M787" i="2"/>
  <c r="K787" i="2"/>
  <c r="I787" i="2"/>
  <c r="H787" i="2"/>
  <c r="G787" i="2"/>
  <c r="F787" i="2"/>
  <c r="E787" i="2"/>
  <c r="D787" i="2"/>
  <c r="C787" i="2"/>
  <c r="B787" i="2"/>
  <c r="A787" i="2"/>
  <c r="N786" i="2"/>
  <c r="M786" i="2"/>
  <c r="K786" i="2"/>
  <c r="I786" i="2"/>
  <c r="H786" i="2"/>
  <c r="G786" i="2"/>
  <c r="F786" i="2"/>
  <c r="E786" i="2"/>
  <c r="C786" i="2"/>
  <c r="B786" i="2"/>
  <c r="A786" i="2"/>
  <c r="N785" i="2"/>
  <c r="M785" i="2"/>
  <c r="L785" i="2"/>
  <c r="K785" i="2"/>
  <c r="I785" i="2"/>
  <c r="H785" i="2"/>
  <c r="G785" i="2"/>
  <c r="F785" i="2"/>
  <c r="E785" i="2"/>
  <c r="D785" i="2"/>
  <c r="C785" i="2"/>
  <c r="B785" i="2"/>
  <c r="A785" i="2"/>
  <c r="N784" i="2"/>
  <c r="M784" i="2"/>
  <c r="L784" i="2"/>
  <c r="K784" i="2"/>
  <c r="I784" i="2"/>
  <c r="H784" i="2"/>
  <c r="G784" i="2"/>
  <c r="F784" i="2"/>
  <c r="E784" i="2"/>
  <c r="D784" i="2"/>
  <c r="C784" i="2"/>
  <c r="B784" i="2"/>
  <c r="A784" i="2"/>
  <c r="N783" i="2"/>
  <c r="M783" i="2"/>
  <c r="K783" i="2"/>
  <c r="I783" i="2"/>
  <c r="H783" i="2"/>
  <c r="G783" i="2"/>
  <c r="F783" i="2"/>
  <c r="E783" i="2"/>
  <c r="D783" i="2"/>
  <c r="C783" i="2"/>
  <c r="B783" i="2"/>
  <c r="A783" i="2"/>
  <c r="N782" i="2"/>
  <c r="M782" i="2"/>
  <c r="L782" i="2"/>
  <c r="K782" i="2"/>
  <c r="I782" i="2"/>
  <c r="H782" i="2"/>
  <c r="G782" i="2"/>
  <c r="F782" i="2"/>
  <c r="E782" i="2"/>
  <c r="D782" i="2"/>
  <c r="C782" i="2"/>
  <c r="B782" i="2"/>
  <c r="A782" i="2"/>
  <c r="N781" i="2"/>
  <c r="M781" i="2"/>
  <c r="K781" i="2"/>
  <c r="I781" i="2"/>
  <c r="H781" i="2"/>
  <c r="G781" i="2"/>
  <c r="F781" i="2"/>
  <c r="E781" i="2"/>
  <c r="D781" i="2"/>
  <c r="C781" i="2"/>
  <c r="B781" i="2"/>
  <c r="A781" i="2"/>
  <c r="N780" i="2"/>
  <c r="M780" i="2"/>
  <c r="L780" i="2"/>
  <c r="K780" i="2"/>
  <c r="I780" i="2"/>
  <c r="H780" i="2"/>
  <c r="G780" i="2"/>
  <c r="F780" i="2"/>
  <c r="E780" i="2"/>
  <c r="D780" i="2"/>
  <c r="C780" i="2"/>
  <c r="B780" i="2"/>
  <c r="A780" i="2"/>
  <c r="N779" i="2"/>
  <c r="M779" i="2"/>
  <c r="K779" i="2"/>
  <c r="I779" i="2"/>
  <c r="H779" i="2"/>
  <c r="G779" i="2"/>
  <c r="F779" i="2"/>
  <c r="E779" i="2"/>
  <c r="D779" i="2"/>
  <c r="C779" i="2"/>
  <c r="B779" i="2"/>
  <c r="A779" i="2"/>
  <c r="N778" i="2"/>
  <c r="M778" i="2"/>
  <c r="L778" i="2"/>
  <c r="K778" i="2"/>
  <c r="I778" i="2"/>
  <c r="H778" i="2"/>
  <c r="G778" i="2"/>
  <c r="F778" i="2"/>
  <c r="E778" i="2"/>
  <c r="D778" i="2"/>
  <c r="C778" i="2"/>
  <c r="B778" i="2"/>
  <c r="A778" i="2"/>
  <c r="N777" i="2"/>
  <c r="M777" i="2"/>
  <c r="L777" i="2"/>
  <c r="K777" i="2"/>
  <c r="I777" i="2"/>
  <c r="H777" i="2"/>
  <c r="G777" i="2"/>
  <c r="F777" i="2"/>
  <c r="E777" i="2"/>
  <c r="D777" i="2"/>
  <c r="C777" i="2"/>
  <c r="B777" i="2"/>
  <c r="A777" i="2"/>
  <c r="N776" i="2"/>
  <c r="M776" i="2"/>
  <c r="L776" i="2"/>
  <c r="K776" i="2"/>
  <c r="I776" i="2"/>
  <c r="H776" i="2"/>
  <c r="G776" i="2"/>
  <c r="F776" i="2"/>
  <c r="E776" i="2"/>
  <c r="D776" i="2"/>
  <c r="C776" i="2"/>
  <c r="B776" i="2"/>
  <c r="A776" i="2"/>
  <c r="N775" i="2"/>
  <c r="M775" i="2"/>
  <c r="K775" i="2"/>
  <c r="I775" i="2"/>
  <c r="H775" i="2"/>
  <c r="G775" i="2"/>
  <c r="F775" i="2"/>
  <c r="E775" i="2"/>
  <c r="D775" i="2"/>
  <c r="C775" i="2"/>
  <c r="B775" i="2"/>
  <c r="A775" i="2"/>
  <c r="N774" i="2"/>
  <c r="M774" i="2"/>
  <c r="L774" i="2"/>
  <c r="K774" i="2"/>
  <c r="I774" i="2"/>
  <c r="H774" i="2"/>
  <c r="G774" i="2"/>
  <c r="F774" i="2"/>
  <c r="E774" i="2"/>
  <c r="D774" i="2"/>
  <c r="C774" i="2"/>
  <c r="B774" i="2"/>
  <c r="A774" i="2"/>
  <c r="N773" i="2"/>
  <c r="M773" i="2"/>
  <c r="L773" i="2"/>
  <c r="K773" i="2"/>
  <c r="I773" i="2"/>
  <c r="H773" i="2"/>
  <c r="G773" i="2"/>
  <c r="F773" i="2"/>
  <c r="E773" i="2"/>
  <c r="D773" i="2"/>
  <c r="C773" i="2"/>
  <c r="B773" i="2"/>
  <c r="A773" i="2"/>
  <c r="N772" i="2"/>
  <c r="M772" i="2"/>
  <c r="L772" i="2"/>
  <c r="K772" i="2"/>
  <c r="I772" i="2"/>
  <c r="H772" i="2"/>
  <c r="G772" i="2"/>
  <c r="F772" i="2"/>
  <c r="E772" i="2"/>
  <c r="D772" i="2"/>
  <c r="C772" i="2"/>
  <c r="B772" i="2"/>
  <c r="A772" i="2"/>
  <c r="N771" i="2"/>
  <c r="M771" i="2"/>
  <c r="K771" i="2"/>
  <c r="I771" i="2"/>
  <c r="H771" i="2"/>
  <c r="G771" i="2"/>
  <c r="F771" i="2"/>
  <c r="E771" i="2"/>
  <c r="D771" i="2"/>
  <c r="C771" i="2"/>
  <c r="B771" i="2"/>
  <c r="A771" i="2"/>
  <c r="N770" i="2"/>
  <c r="M770" i="2"/>
  <c r="L770" i="2"/>
  <c r="K770" i="2"/>
  <c r="I770" i="2"/>
  <c r="H770" i="2"/>
  <c r="G770" i="2"/>
  <c r="F770" i="2"/>
  <c r="E770" i="2"/>
  <c r="D770" i="2"/>
  <c r="C770" i="2"/>
  <c r="B770" i="2"/>
  <c r="A770" i="2"/>
  <c r="N769" i="2"/>
  <c r="M769" i="2"/>
  <c r="L769" i="2"/>
  <c r="K769" i="2"/>
  <c r="I769" i="2"/>
  <c r="H769" i="2"/>
  <c r="G769" i="2"/>
  <c r="F769" i="2"/>
  <c r="E769" i="2"/>
  <c r="D769" i="2"/>
  <c r="C769" i="2"/>
  <c r="B769" i="2"/>
  <c r="A769" i="2"/>
  <c r="N768" i="2"/>
  <c r="M768" i="2"/>
  <c r="L768" i="2"/>
  <c r="K768" i="2"/>
  <c r="I768" i="2"/>
  <c r="H768" i="2"/>
  <c r="G768" i="2"/>
  <c r="F768" i="2"/>
  <c r="E768" i="2"/>
  <c r="D768" i="2"/>
  <c r="C768" i="2"/>
  <c r="B768" i="2"/>
  <c r="A768" i="2"/>
  <c r="N767" i="2"/>
  <c r="M767" i="2"/>
  <c r="L767" i="2"/>
  <c r="K767" i="2"/>
  <c r="I767" i="2"/>
  <c r="H767" i="2"/>
  <c r="G767" i="2"/>
  <c r="F767" i="2"/>
  <c r="E767" i="2"/>
  <c r="D767" i="2"/>
  <c r="C767" i="2"/>
  <c r="B767" i="2"/>
  <c r="A767" i="2"/>
  <c r="N766" i="2"/>
  <c r="M766" i="2"/>
  <c r="L766" i="2"/>
  <c r="K766" i="2"/>
  <c r="I766" i="2"/>
  <c r="H766" i="2"/>
  <c r="G766" i="2"/>
  <c r="F766" i="2"/>
  <c r="E766" i="2"/>
  <c r="D766" i="2"/>
  <c r="C766" i="2"/>
  <c r="B766" i="2"/>
  <c r="A766" i="2"/>
  <c r="N765" i="2"/>
  <c r="M765" i="2"/>
  <c r="L765" i="2"/>
  <c r="K765" i="2"/>
  <c r="I765" i="2"/>
  <c r="H765" i="2"/>
  <c r="G765" i="2"/>
  <c r="F765" i="2"/>
  <c r="E765" i="2"/>
  <c r="D765" i="2"/>
  <c r="B765" i="2"/>
  <c r="A765" i="2"/>
  <c r="N764" i="2"/>
  <c r="M764" i="2"/>
  <c r="K764" i="2"/>
  <c r="I764" i="2"/>
  <c r="H764" i="2"/>
  <c r="G764" i="2"/>
  <c r="F764" i="2"/>
  <c r="E764" i="2"/>
  <c r="C764" i="2"/>
  <c r="B764" i="2"/>
  <c r="A764" i="2"/>
  <c r="N763" i="2"/>
  <c r="M763" i="2"/>
  <c r="L763" i="2"/>
  <c r="K763" i="2"/>
  <c r="I763" i="2"/>
  <c r="H763" i="2"/>
  <c r="G763" i="2"/>
  <c r="F763" i="2"/>
  <c r="E763" i="2"/>
  <c r="D763" i="2"/>
  <c r="C763" i="2"/>
  <c r="B763" i="2"/>
  <c r="A763" i="2"/>
  <c r="N762" i="2"/>
  <c r="M762" i="2"/>
  <c r="L762" i="2"/>
  <c r="K762" i="2"/>
  <c r="I762" i="2"/>
  <c r="H762" i="2"/>
  <c r="G762" i="2"/>
  <c r="F762" i="2"/>
  <c r="E762" i="2"/>
  <c r="D762" i="2"/>
  <c r="C762" i="2"/>
  <c r="B762" i="2"/>
  <c r="A762" i="2"/>
  <c r="N761" i="2"/>
  <c r="M761" i="2"/>
  <c r="K761" i="2"/>
  <c r="I761" i="2"/>
  <c r="H761" i="2"/>
  <c r="G761" i="2"/>
  <c r="F761" i="2"/>
  <c r="E761" i="2"/>
  <c r="D761" i="2"/>
  <c r="C761" i="2"/>
  <c r="B761" i="2"/>
  <c r="A761" i="2"/>
  <c r="N760" i="2"/>
  <c r="M760" i="2"/>
  <c r="L760" i="2"/>
  <c r="K760" i="2"/>
  <c r="I760" i="2"/>
  <c r="H760" i="2"/>
  <c r="G760" i="2"/>
  <c r="F760" i="2"/>
  <c r="E760" i="2"/>
  <c r="D760" i="2"/>
  <c r="C760" i="2"/>
  <c r="B760" i="2"/>
  <c r="A760" i="2"/>
  <c r="N759" i="2"/>
  <c r="M759" i="2"/>
  <c r="K759" i="2"/>
  <c r="I759" i="2"/>
  <c r="H759" i="2"/>
  <c r="G759" i="2"/>
  <c r="F759" i="2"/>
  <c r="E759" i="2"/>
  <c r="D759" i="2"/>
  <c r="C759" i="2"/>
  <c r="B759" i="2"/>
  <c r="A759" i="2"/>
  <c r="N758" i="2"/>
  <c r="M758" i="2"/>
  <c r="L758" i="2"/>
  <c r="K758" i="2"/>
  <c r="I758" i="2"/>
  <c r="H758" i="2"/>
  <c r="G758" i="2"/>
  <c r="F758" i="2"/>
  <c r="E758" i="2"/>
  <c r="D758" i="2"/>
  <c r="C758" i="2"/>
  <c r="B758" i="2"/>
  <c r="A758" i="2"/>
  <c r="N757" i="2"/>
  <c r="M757" i="2"/>
  <c r="K757" i="2"/>
  <c r="I757" i="2"/>
  <c r="H757" i="2"/>
  <c r="G757" i="2"/>
  <c r="F757" i="2"/>
  <c r="E757" i="2"/>
  <c r="D757" i="2"/>
  <c r="C757" i="2"/>
  <c r="B757" i="2"/>
  <c r="A757" i="2"/>
  <c r="N756" i="2"/>
  <c r="M756" i="2"/>
  <c r="L756" i="2"/>
  <c r="K756" i="2"/>
  <c r="I756" i="2"/>
  <c r="H756" i="2"/>
  <c r="G756" i="2"/>
  <c r="F756" i="2"/>
  <c r="E756" i="2"/>
  <c r="D756" i="2"/>
  <c r="C756" i="2"/>
  <c r="B756" i="2"/>
  <c r="A756" i="2"/>
  <c r="N755" i="2"/>
  <c r="M755" i="2"/>
  <c r="L755" i="2"/>
  <c r="K755" i="2"/>
  <c r="I755" i="2"/>
  <c r="H755" i="2"/>
  <c r="G755" i="2"/>
  <c r="F755" i="2"/>
  <c r="E755" i="2"/>
  <c r="D755" i="2"/>
  <c r="C755" i="2"/>
  <c r="B755" i="2"/>
  <c r="A755" i="2"/>
  <c r="N754" i="2"/>
  <c r="M754" i="2"/>
  <c r="K754" i="2"/>
  <c r="I754" i="2"/>
  <c r="H754" i="2"/>
  <c r="G754" i="2"/>
  <c r="F754" i="2"/>
  <c r="E754" i="2"/>
  <c r="D754" i="2"/>
  <c r="C754" i="2"/>
  <c r="B754" i="2"/>
  <c r="A754" i="2"/>
  <c r="N753" i="2"/>
  <c r="M753" i="2"/>
  <c r="L753" i="2"/>
  <c r="K753" i="2"/>
  <c r="I753" i="2"/>
  <c r="H753" i="2"/>
  <c r="G753" i="2"/>
  <c r="F753" i="2"/>
  <c r="E753" i="2"/>
  <c r="D753" i="2"/>
  <c r="C753" i="2"/>
  <c r="B753" i="2"/>
  <c r="A753" i="2"/>
  <c r="N752" i="2"/>
  <c r="M752" i="2"/>
  <c r="L752" i="2"/>
  <c r="K752" i="2"/>
  <c r="I752" i="2"/>
  <c r="H752" i="2"/>
  <c r="G752" i="2"/>
  <c r="F752" i="2"/>
  <c r="E752" i="2"/>
  <c r="D752" i="2"/>
  <c r="C752" i="2"/>
  <c r="B752" i="2"/>
  <c r="A752" i="2"/>
  <c r="N751" i="2"/>
  <c r="M751" i="2"/>
  <c r="K751" i="2"/>
  <c r="I751" i="2"/>
  <c r="H751" i="2"/>
  <c r="G751" i="2"/>
  <c r="F751" i="2"/>
  <c r="E751" i="2"/>
  <c r="D751" i="2"/>
  <c r="C751" i="2"/>
  <c r="B751" i="2"/>
  <c r="A751" i="2"/>
  <c r="N750" i="2"/>
  <c r="M750" i="2"/>
  <c r="K750" i="2"/>
  <c r="I750" i="2"/>
  <c r="H750" i="2"/>
  <c r="G750" i="2"/>
  <c r="F750" i="2"/>
  <c r="E750" i="2"/>
  <c r="D750" i="2"/>
  <c r="C750" i="2"/>
  <c r="B750" i="2"/>
  <c r="N749" i="2"/>
  <c r="M749" i="2"/>
  <c r="K749" i="2"/>
  <c r="I749" i="2"/>
  <c r="H749" i="2"/>
  <c r="G749" i="2"/>
  <c r="F749" i="2"/>
  <c r="E749" i="2"/>
  <c r="D749" i="2"/>
  <c r="C749" i="2"/>
  <c r="B749" i="2"/>
  <c r="A749" i="2"/>
  <c r="N748" i="2"/>
  <c r="M748" i="2"/>
  <c r="L748" i="2"/>
  <c r="K748" i="2"/>
  <c r="I748" i="2"/>
  <c r="H748" i="2"/>
  <c r="G748" i="2"/>
  <c r="F748" i="2"/>
  <c r="E748" i="2"/>
  <c r="D748" i="2"/>
  <c r="C748" i="2"/>
  <c r="B748" i="2"/>
  <c r="A748" i="2"/>
  <c r="N747" i="2"/>
  <c r="M747" i="2"/>
  <c r="L747" i="2"/>
  <c r="K747" i="2"/>
  <c r="I747" i="2"/>
  <c r="H747" i="2"/>
  <c r="G747" i="2"/>
  <c r="F747" i="2"/>
  <c r="E747" i="2"/>
  <c r="D747" i="2"/>
  <c r="C747" i="2"/>
  <c r="B747" i="2"/>
  <c r="A747" i="2"/>
  <c r="N746" i="2"/>
  <c r="M746" i="2"/>
  <c r="K746" i="2"/>
  <c r="I746" i="2"/>
  <c r="H746" i="2"/>
  <c r="G746" i="2"/>
  <c r="F746" i="2"/>
  <c r="E746" i="2"/>
  <c r="D746" i="2"/>
  <c r="C746" i="2"/>
  <c r="B746" i="2"/>
  <c r="N745" i="2"/>
  <c r="M745" i="2"/>
  <c r="L745" i="2"/>
  <c r="K745" i="2"/>
  <c r="I745" i="2"/>
  <c r="H745" i="2"/>
  <c r="G745" i="2"/>
  <c r="F745" i="2"/>
  <c r="E745" i="2"/>
  <c r="D745" i="2"/>
  <c r="C745" i="2"/>
  <c r="B745" i="2"/>
  <c r="A745" i="2"/>
  <c r="N744" i="2"/>
  <c r="M744" i="2"/>
  <c r="L744" i="2"/>
  <c r="K744" i="2"/>
  <c r="I744" i="2"/>
  <c r="H744" i="2"/>
  <c r="G744" i="2"/>
  <c r="F744" i="2"/>
  <c r="E744" i="2"/>
  <c r="C744" i="2"/>
  <c r="B744" i="2"/>
  <c r="A744" i="2"/>
  <c r="N743" i="2"/>
  <c r="M743" i="2"/>
  <c r="K743" i="2"/>
  <c r="I743" i="2"/>
  <c r="H743" i="2"/>
  <c r="G743" i="2"/>
  <c r="F743" i="2"/>
  <c r="E743" i="2"/>
  <c r="D743" i="2"/>
  <c r="C743" i="2"/>
  <c r="B743" i="2"/>
  <c r="A743" i="2"/>
  <c r="N742" i="2"/>
  <c r="M742" i="2"/>
  <c r="L742" i="2"/>
  <c r="K742" i="2"/>
  <c r="I742" i="2"/>
  <c r="H742" i="2"/>
  <c r="G742" i="2"/>
  <c r="F742" i="2"/>
  <c r="E742" i="2"/>
  <c r="D742" i="2"/>
  <c r="C742" i="2"/>
  <c r="B742" i="2"/>
  <c r="A742" i="2"/>
  <c r="N741" i="2"/>
  <c r="M741" i="2"/>
  <c r="L741" i="2"/>
  <c r="K741" i="2"/>
  <c r="I741" i="2"/>
  <c r="H741" i="2"/>
  <c r="G741" i="2"/>
  <c r="F741" i="2"/>
  <c r="E741" i="2"/>
  <c r="D741" i="2"/>
  <c r="C741" i="2"/>
  <c r="B741" i="2"/>
  <c r="A741" i="2"/>
  <c r="N740" i="2"/>
  <c r="M740" i="2"/>
  <c r="K740" i="2"/>
  <c r="I740" i="2"/>
  <c r="H740" i="2"/>
  <c r="G740" i="2"/>
  <c r="F740" i="2"/>
  <c r="E740" i="2"/>
  <c r="D740" i="2"/>
  <c r="C740" i="2"/>
  <c r="B740" i="2"/>
  <c r="A740" i="2"/>
  <c r="N739" i="2"/>
  <c r="M739" i="2"/>
  <c r="L739" i="2"/>
  <c r="K739" i="2"/>
  <c r="I739" i="2"/>
  <c r="H739" i="2"/>
  <c r="G739" i="2"/>
  <c r="F739" i="2"/>
  <c r="E739" i="2"/>
  <c r="D739" i="2"/>
  <c r="C739" i="2"/>
  <c r="B739" i="2"/>
  <c r="A739" i="2"/>
  <c r="N738" i="2"/>
  <c r="M738" i="2"/>
  <c r="L738" i="2"/>
  <c r="K738" i="2"/>
  <c r="I738" i="2"/>
  <c r="H738" i="2"/>
  <c r="G738" i="2"/>
  <c r="F738" i="2"/>
  <c r="E738" i="2"/>
  <c r="D738" i="2"/>
  <c r="C738" i="2"/>
  <c r="B738" i="2"/>
  <c r="A738" i="2"/>
  <c r="N737" i="2"/>
  <c r="M737" i="2"/>
  <c r="K737" i="2"/>
  <c r="I737" i="2"/>
  <c r="H737" i="2"/>
  <c r="G737" i="2"/>
  <c r="F737" i="2"/>
  <c r="E737" i="2"/>
  <c r="D737" i="2"/>
  <c r="C737" i="2"/>
  <c r="B737" i="2"/>
  <c r="A737" i="2"/>
  <c r="N736" i="2"/>
  <c r="M736" i="2"/>
  <c r="L736" i="2"/>
  <c r="K736" i="2"/>
  <c r="I736" i="2"/>
  <c r="H736" i="2"/>
  <c r="G736" i="2"/>
  <c r="F736" i="2"/>
  <c r="E736" i="2"/>
  <c r="D736" i="2"/>
  <c r="C736" i="2"/>
  <c r="B736" i="2"/>
  <c r="A736" i="2"/>
  <c r="N735" i="2"/>
  <c r="M735" i="2"/>
  <c r="L735" i="2"/>
  <c r="K735" i="2"/>
  <c r="I735" i="2"/>
  <c r="H735" i="2"/>
  <c r="G735" i="2"/>
  <c r="F735" i="2"/>
  <c r="E735" i="2"/>
  <c r="D735" i="2"/>
  <c r="C735" i="2"/>
  <c r="B735" i="2"/>
  <c r="A735" i="2"/>
  <c r="N734" i="2"/>
  <c r="M734" i="2"/>
  <c r="K734" i="2"/>
  <c r="I734" i="2"/>
  <c r="H734" i="2"/>
  <c r="G734" i="2"/>
  <c r="F734" i="2"/>
  <c r="E734" i="2"/>
  <c r="D734" i="2"/>
  <c r="C734" i="2"/>
  <c r="B734" i="2"/>
  <c r="A734" i="2"/>
  <c r="N733" i="2"/>
  <c r="M733" i="2"/>
  <c r="L733" i="2"/>
  <c r="K733" i="2"/>
  <c r="I733" i="2"/>
  <c r="H733" i="2"/>
  <c r="G733" i="2"/>
  <c r="F733" i="2"/>
  <c r="E733" i="2"/>
  <c r="D733" i="2"/>
  <c r="C733" i="2"/>
  <c r="B733" i="2"/>
  <c r="A733" i="2"/>
  <c r="N732" i="2"/>
  <c r="M732" i="2"/>
  <c r="K732" i="2"/>
  <c r="I732" i="2"/>
  <c r="H732" i="2"/>
  <c r="G732" i="2"/>
  <c r="F732" i="2"/>
  <c r="E732" i="2"/>
  <c r="D732" i="2"/>
  <c r="C732" i="2"/>
  <c r="B732" i="2"/>
  <c r="A732" i="2"/>
  <c r="N731" i="2"/>
  <c r="M731" i="2"/>
  <c r="K731" i="2"/>
  <c r="I731" i="2"/>
  <c r="H731" i="2"/>
  <c r="G731" i="2"/>
  <c r="F731" i="2"/>
  <c r="E731" i="2"/>
  <c r="D731" i="2"/>
  <c r="C731" i="2"/>
  <c r="B731" i="2"/>
  <c r="A731" i="2"/>
  <c r="N730" i="2"/>
  <c r="M730" i="2"/>
  <c r="K730" i="2"/>
  <c r="I730" i="2"/>
  <c r="H730" i="2"/>
  <c r="G730" i="2"/>
  <c r="F730" i="2"/>
  <c r="E730" i="2"/>
  <c r="D730" i="2"/>
  <c r="C730" i="2"/>
  <c r="B730" i="2"/>
  <c r="A730" i="2"/>
  <c r="N729" i="2"/>
  <c r="M729" i="2"/>
  <c r="L729" i="2"/>
  <c r="K729" i="2"/>
  <c r="I729" i="2"/>
  <c r="H729" i="2"/>
  <c r="G729" i="2"/>
  <c r="F729" i="2"/>
  <c r="E729" i="2"/>
  <c r="D729" i="2"/>
  <c r="C729" i="2"/>
  <c r="B729" i="2"/>
  <c r="A729" i="2"/>
  <c r="N728" i="2"/>
  <c r="M728" i="2"/>
  <c r="K728" i="2"/>
  <c r="I728" i="2"/>
  <c r="H728" i="2"/>
  <c r="G728" i="2"/>
  <c r="F728" i="2"/>
  <c r="E728" i="2"/>
  <c r="D728" i="2"/>
  <c r="C728" i="2"/>
  <c r="B728" i="2"/>
  <c r="A728" i="2"/>
  <c r="N727" i="2"/>
  <c r="M727" i="2"/>
  <c r="L727" i="2"/>
  <c r="K727" i="2"/>
  <c r="I727" i="2"/>
  <c r="H727" i="2"/>
  <c r="G727" i="2"/>
  <c r="F727" i="2"/>
  <c r="E727" i="2"/>
  <c r="D727" i="2"/>
  <c r="C727" i="2"/>
  <c r="B727" i="2"/>
  <c r="A727" i="2"/>
  <c r="N726" i="2"/>
  <c r="M726" i="2"/>
  <c r="L726" i="2"/>
  <c r="K726" i="2"/>
  <c r="I726" i="2"/>
  <c r="H726" i="2"/>
  <c r="G726" i="2"/>
  <c r="F726" i="2"/>
  <c r="E726" i="2"/>
  <c r="D726" i="2"/>
  <c r="C726" i="2"/>
  <c r="B726" i="2"/>
  <c r="A726" i="2"/>
  <c r="N725" i="2"/>
  <c r="M725" i="2"/>
  <c r="L725" i="2"/>
  <c r="K725" i="2"/>
  <c r="I725" i="2"/>
  <c r="H725" i="2"/>
  <c r="G725" i="2"/>
  <c r="F725" i="2"/>
  <c r="E725" i="2"/>
  <c r="D725" i="2"/>
  <c r="C725" i="2"/>
  <c r="B725" i="2"/>
  <c r="A725" i="2"/>
  <c r="N724" i="2"/>
  <c r="M724" i="2"/>
  <c r="K724" i="2"/>
  <c r="I724" i="2"/>
  <c r="H724" i="2"/>
  <c r="G724" i="2"/>
  <c r="F724" i="2"/>
  <c r="E724" i="2"/>
  <c r="D724" i="2"/>
  <c r="C724" i="2"/>
  <c r="B724" i="2"/>
  <c r="N723" i="2"/>
  <c r="M723" i="2"/>
  <c r="L723" i="2"/>
  <c r="K723" i="2"/>
  <c r="I723" i="2"/>
  <c r="H723" i="2"/>
  <c r="G723" i="2"/>
  <c r="F723" i="2"/>
  <c r="E723" i="2"/>
  <c r="D723" i="2"/>
  <c r="C723" i="2"/>
  <c r="B723" i="2"/>
  <c r="A723" i="2"/>
  <c r="N722" i="2"/>
  <c r="M722" i="2"/>
  <c r="L722" i="2"/>
  <c r="K722" i="2"/>
  <c r="I722" i="2"/>
  <c r="H722" i="2"/>
  <c r="G722" i="2"/>
  <c r="F722" i="2"/>
  <c r="E722" i="2"/>
  <c r="D722" i="2"/>
  <c r="C722" i="2"/>
  <c r="B722" i="2"/>
  <c r="A722" i="2"/>
  <c r="M721" i="2"/>
  <c r="L721" i="2"/>
  <c r="I721" i="2"/>
  <c r="H721" i="2"/>
  <c r="G721" i="2"/>
  <c r="F721" i="2"/>
  <c r="C721" i="2"/>
  <c r="B721" i="2"/>
  <c r="M720" i="2"/>
  <c r="L720" i="2"/>
  <c r="I720" i="2"/>
  <c r="H720" i="2"/>
  <c r="G720" i="2"/>
  <c r="F720" i="2"/>
  <c r="C720" i="2"/>
  <c r="B720" i="2"/>
  <c r="N719" i="2"/>
  <c r="M719" i="2"/>
  <c r="K719" i="2"/>
  <c r="I719" i="2"/>
  <c r="H719" i="2"/>
  <c r="G719" i="2"/>
  <c r="F719" i="2"/>
  <c r="E719" i="2"/>
  <c r="D719" i="2"/>
  <c r="C719" i="2"/>
  <c r="B719" i="2"/>
  <c r="A719" i="2"/>
  <c r="N718" i="2"/>
  <c r="M718" i="2"/>
  <c r="L718" i="2"/>
  <c r="K718" i="2"/>
  <c r="I718" i="2"/>
  <c r="H718" i="2"/>
  <c r="G718" i="2"/>
  <c r="F718" i="2"/>
  <c r="E718" i="2"/>
  <c r="D718" i="2"/>
  <c r="C718" i="2"/>
  <c r="B718" i="2"/>
  <c r="A718" i="2"/>
  <c r="N717" i="2"/>
  <c r="K717" i="2"/>
  <c r="I717" i="2"/>
  <c r="H717" i="2"/>
  <c r="G717" i="2"/>
  <c r="F717" i="2"/>
  <c r="E717" i="2"/>
  <c r="D717" i="2"/>
  <c r="C717" i="2"/>
  <c r="B717" i="2"/>
  <c r="A717" i="2"/>
  <c r="N716" i="2"/>
  <c r="M716" i="2"/>
  <c r="K716" i="2"/>
  <c r="I716" i="2"/>
  <c r="H716" i="2"/>
  <c r="G716" i="2"/>
  <c r="F716" i="2"/>
  <c r="E716" i="2"/>
  <c r="D716" i="2"/>
  <c r="C716" i="2"/>
  <c r="B716" i="2"/>
  <c r="A716" i="2"/>
  <c r="N715" i="2"/>
  <c r="K715" i="2"/>
  <c r="I715" i="2"/>
  <c r="H715" i="2"/>
  <c r="G715" i="2"/>
  <c r="F715" i="2"/>
  <c r="E715" i="2"/>
  <c r="D715" i="2"/>
  <c r="C715" i="2"/>
  <c r="B715" i="2"/>
  <c r="A715" i="2"/>
  <c r="N714" i="2"/>
  <c r="M714" i="2"/>
  <c r="K714" i="2"/>
  <c r="I714" i="2"/>
  <c r="H714" i="2"/>
  <c r="G714" i="2"/>
  <c r="F714" i="2"/>
  <c r="E714" i="2"/>
  <c r="D714" i="2"/>
  <c r="C714" i="2"/>
  <c r="B714" i="2"/>
  <c r="A714" i="2"/>
  <c r="N713" i="2"/>
  <c r="M713" i="2"/>
  <c r="L713" i="2"/>
  <c r="K713" i="2"/>
  <c r="I713" i="2"/>
  <c r="H713" i="2"/>
  <c r="G713" i="2"/>
  <c r="F713" i="2"/>
  <c r="E713" i="2"/>
  <c r="C713" i="2"/>
  <c r="B713" i="2"/>
  <c r="A713" i="2"/>
  <c r="N712" i="2"/>
  <c r="M712" i="2"/>
  <c r="L712" i="2"/>
  <c r="K712" i="2"/>
  <c r="I712" i="2"/>
  <c r="H712" i="2"/>
  <c r="G712" i="2"/>
  <c r="F712" i="2"/>
  <c r="E712" i="2"/>
  <c r="D712" i="2"/>
  <c r="C712" i="2"/>
  <c r="B712" i="2"/>
  <c r="A712" i="2"/>
  <c r="N711" i="2"/>
  <c r="M711" i="2"/>
  <c r="K711" i="2"/>
  <c r="I711" i="2"/>
  <c r="H711" i="2"/>
  <c r="G711" i="2"/>
  <c r="F711" i="2"/>
  <c r="E711" i="2"/>
  <c r="D711" i="2"/>
  <c r="C711" i="2"/>
  <c r="B711" i="2"/>
  <c r="A711" i="2"/>
  <c r="N710" i="2"/>
  <c r="M710" i="2"/>
  <c r="K710" i="2"/>
  <c r="I710" i="2"/>
  <c r="H710" i="2"/>
  <c r="G710" i="2"/>
  <c r="F710" i="2"/>
  <c r="E710" i="2"/>
  <c r="D710" i="2"/>
  <c r="C710" i="2"/>
  <c r="B710" i="2"/>
  <c r="A710" i="2"/>
  <c r="N709" i="2"/>
  <c r="M709" i="2"/>
  <c r="K709" i="2"/>
  <c r="I709" i="2"/>
  <c r="H709" i="2"/>
  <c r="G709" i="2"/>
  <c r="F709" i="2"/>
  <c r="E709" i="2"/>
  <c r="D709" i="2"/>
  <c r="C709" i="2"/>
  <c r="B709" i="2"/>
  <c r="A709" i="2"/>
  <c r="N708" i="2"/>
  <c r="M708" i="2"/>
  <c r="L708" i="2"/>
  <c r="K708" i="2"/>
  <c r="I708" i="2"/>
  <c r="H708" i="2"/>
  <c r="G708" i="2"/>
  <c r="F708" i="2"/>
  <c r="E708" i="2"/>
  <c r="D708" i="2"/>
  <c r="C708" i="2"/>
  <c r="B708" i="2"/>
  <c r="A708" i="2"/>
  <c r="N707" i="2"/>
  <c r="K707" i="2"/>
  <c r="I707" i="2"/>
  <c r="H707" i="2"/>
  <c r="G707" i="2"/>
  <c r="F707" i="2"/>
  <c r="E707" i="2"/>
  <c r="D707" i="2"/>
  <c r="C707" i="2"/>
  <c r="B707" i="2"/>
  <c r="A707" i="2"/>
  <c r="N706" i="2"/>
  <c r="M706" i="2"/>
  <c r="L706" i="2"/>
  <c r="K706" i="2"/>
  <c r="I706" i="2"/>
  <c r="H706" i="2"/>
  <c r="G706" i="2"/>
  <c r="F706" i="2"/>
  <c r="E706" i="2"/>
  <c r="D706" i="2"/>
  <c r="C706" i="2"/>
  <c r="B706" i="2"/>
  <c r="A706" i="2"/>
  <c r="N705" i="2"/>
  <c r="M705" i="2"/>
  <c r="K705" i="2"/>
  <c r="I705" i="2"/>
  <c r="H705" i="2"/>
  <c r="G705" i="2"/>
  <c r="F705" i="2"/>
  <c r="E705" i="2"/>
  <c r="D705" i="2"/>
  <c r="C705" i="2"/>
  <c r="B705" i="2"/>
  <c r="A705" i="2"/>
  <c r="N704" i="2"/>
  <c r="M704" i="2"/>
  <c r="L704" i="2"/>
  <c r="K704" i="2"/>
  <c r="I704" i="2"/>
  <c r="H704" i="2"/>
  <c r="G704" i="2"/>
  <c r="F704" i="2"/>
  <c r="E704" i="2"/>
  <c r="D704" i="2"/>
  <c r="C704" i="2"/>
  <c r="B704" i="2"/>
  <c r="A704" i="2"/>
  <c r="N703" i="2"/>
  <c r="M703" i="2"/>
  <c r="K703" i="2"/>
  <c r="I703" i="2"/>
  <c r="H703" i="2"/>
  <c r="G703" i="2"/>
  <c r="F703" i="2"/>
  <c r="E703" i="2"/>
  <c r="D703" i="2"/>
  <c r="C703" i="2"/>
  <c r="B703" i="2"/>
  <c r="A703" i="2"/>
  <c r="N702" i="2"/>
  <c r="M702" i="2"/>
  <c r="L702" i="2"/>
  <c r="K702" i="2"/>
  <c r="I702" i="2"/>
  <c r="H702" i="2"/>
  <c r="G702" i="2"/>
  <c r="F702" i="2"/>
  <c r="E702" i="2"/>
  <c r="D702" i="2"/>
  <c r="C702" i="2"/>
  <c r="B702" i="2"/>
  <c r="A702" i="2"/>
  <c r="N701" i="2"/>
  <c r="M701" i="2"/>
  <c r="L701" i="2"/>
  <c r="K701" i="2"/>
  <c r="I701" i="2"/>
  <c r="H701" i="2"/>
  <c r="G701" i="2"/>
  <c r="F701" i="2"/>
  <c r="E701" i="2"/>
  <c r="D701" i="2"/>
  <c r="C701" i="2"/>
  <c r="B701" i="2"/>
  <c r="A701" i="2"/>
  <c r="N700" i="2"/>
  <c r="M700" i="2"/>
  <c r="L700" i="2"/>
  <c r="K700" i="2"/>
  <c r="I700" i="2"/>
  <c r="H700" i="2"/>
  <c r="G700" i="2"/>
  <c r="F700" i="2"/>
  <c r="E700" i="2"/>
  <c r="D700" i="2"/>
  <c r="C700" i="2"/>
  <c r="B700" i="2"/>
  <c r="A700" i="2"/>
  <c r="N699" i="2"/>
  <c r="M699" i="2"/>
  <c r="L699" i="2"/>
  <c r="I699" i="2"/>
  <c r="H699" i="2"/>
  <c r="G699" i="2"/>
  <c r="F699" i="2"/>
  <c r="E699" i="2"/>
  <c r="D699" i="2"/>
  <c r="C699" i="2"/>
  <c r="B699" i="2"/>
  <c r="N698" i="2"/>
  <c r="M698" i="2"/>
  <c r="L698" i="2"/>
  <c r="K698" i="2"/>
  <c r="I698" i="2"/>
  <c r="H698" i="2"/>
  <c r="G698" i="2"/>
  <c r="F698" i="2"/>
  <c r="E698" i="2"/>
  <c r="D698" i="2"/>
  <c r="C698" i="2"/>
  <c r="B698" i="2"/>
  <c r="A698" i="2"/>
  <c r="N697" i="2"/>
  <c r="M697" i="2"/>
  <c r="L697" i="2"/>
  <c r="K697" i="2"/>
  <c r="I697" i="2"/>
  <c r="H697" i="2"/>
  <c r="G697" i="2"/>
  <c r="F697" i="2"/>
  <c r="E697" i="2"/>
  <c r="D697" i="2"/>
  <c r="C697" i="2"/>
  <c r="B697" i="2"/>
  <c r="A697" i="2"/>
  <c r="N696" i="2"/>
  <c r="M696" i="2"/>
  <c r="K696" i="2"/>
  <c r="I696" i="2"/>
  <c r="H696" i="2"/>
  <c r="G696" i="2"/>
  <c r="F696" i="2"/>
  <c r="E696" i="2"/>
  <c r="D696" i="2"/>
  <c r="C696" i="2"/>
  <c r="B696" i="2"/>
  <c r="A696" i="2"/>
  <c r="N695" i="2"/>
  <c r="K695" i="2"/>
  <c r="I695" i="2"/>
  <c r="H695" i="2"/>
  <c r="G695" i="2"/>
  <c r="F695" i="2"/>
  <c r="E695" i="2"/>
  <c r="D695" i="2"/>
  <c r="C695" i="2"/>
  <c r="B695" i="2"/>
  <c r="N694" i="2"/>
  <c r="M694" i="2"/>
  <c r="L694" i="2"/>
  <c r="K694" i="2"/>
  <c r="I694" i="2"/>
  <c r="H694" i="2"/>
  <c r="G694" i="2"/>
  <c r="F694" i="2"/>
  <c r="E694" i="2"/>
  <c r="C694" i="2"/>
  <c r="B694" i="2"/>
  <c r="A694" i="2"/>
  <c r="N693" i="2"/>
  <c r="M693" i="2"/>
  <c r="K693" i="2"/>
  <c r="I693" i="2"/>
  <c r="H693" i="2"/>
  <c r="G693" i="2"/>
  <c r="F693" i="2"/>
  <c r="E693" i="2"/>
  <c r="D693" i="2"/>
  <c r="C693" i="2"/>
  <c r="B693" i="2"/>
  <c r="A693" i="2"/>
  <c r="N692" i="2"/>
  <c r="M692" i="2"/>
  <c r="L692" i="2"/>
  <c r="K692" i="2"/>
  <c r="I692" i="2"/>
  <c r="H692" i="2"/>
  <c r="G692" i="2"/>
  <c r="F692" i="2"/>
  <c r="E692" i="2"/>
  <c r="D692" i="2"/>
  <c r="C692" i="2"/>
  <c r="B692" i="2"/>
  <c r="A692" i="2"/>
  <c r="N691" i="2"/>
  <c r="M691" i="2"/>
  <c r="L691" i="2"/>
  <c r="K691" i="2"/>
  <c r="I691" i="2"/>
  <c r="H691" i="2"/>
  <c r="G691" i="2"/>
  <c r="F691" i="2"/>
  <c r="E691" i="2"/>
  <c r="D691" i="2"/>
  <c r="C691" i="2"/>
  <c r="B691" i="2"/>
  <c r="A691" i="2"/>
  <c r="N690" i="2"/>
  <c r="M690" i="2"/>
  <c r="L690" i="2"/>
  <c r="K690" i="2"/>
  <c r="I690" i="2"/>
  <c r="H690" i="2"/>
  <c r="G690" i="2"/>
  <c r="F690" i="2"/>
  <c r="E690" i="2"/>
  <c r="D690" i="2"/>
  <c r="C690" i="2"/>
  <c r="B690" i="2"/>
  <c r="A690" i="2"/>
  <c r="N689" i="2"/>
  <c r="M689" i="2"/>
  <c r="L689" i="2"/>
  <c r="I689" i="2"/>
  <c r="H689" i="2"/>
  <c r="G689" i="2"/>
  <c r="F689" i="2"/>
  <c r="E689" i="2"/>
  <c r="D689" i="2"/>
  <c r="C689" i="2"/>
  <c r="B689" i="2"/>
  <c r="N688" i="2"/>
  <c r="M688" i="2"/>
  <c r="L688" i="2"/>
  <c r="K688" i="2"/>
  <c r="I688" i="2"/>
  <c r="H688" i="2"/>
  <c r="G688" i="2"/>
  <c r="F688" i="2"/>
  <c r="E688" i="2"/>
  <c r="D688" i="2"/>
  <c r="C688" i="2"/>
  <c r="B688" i="2"/>
  <c r="A688" i="2"/>
  <c r="N687" i="2"/>
  <c r="M687" i="2"/>
  <c r="L687" i="2"/>
  <c r="K687" i="2"/>
  <c r="I687" i="2"/>
  <c r="H687" i="2"/>
  <c r="G687" i="2"/>
  <c r="F687" i="2"/>
  <c r="E687" i="2"/>
  <c r="D687" i="2"/>
  <c r="C687" i="2"/>
  <c r="B687" i="2"/>
  <c r="A687" i="2"/>
  <c r="N686" i="2"/>
  <c r="M686" i="2"/>
  <c r="L686" i="2"/>
  <c r="K686" i="2"/>
  <c r="I686" i="2"/>
  <c r="H686" i="2"/>
  <c r="G686" i="2"/>
  <c r="F686" i="2"/>
  <c r="E686" i="2"/>
  <c r="D686" i="2"/>
  <c r="C686" i="2"/>
  <c r="B686" i="2"/>
  <c r="A686" i="2"/>
  <c r="N685" i="2"/>
  <c r="M685" i="2"/>
  <c r="L685" i="2"/>
  <c r="K685" i="2"/>
  <c r="I685" i="2"/>
  <c r="H685" i="2"/>
  <c r="G685" i="2"/>
  <c r="F685" i="2"/>
  <c r="E685" i="2"/>
  <c r="D685" i="2"/>
  <c r="C685" i="2"/>
  <c r="B685" i="2"/>
  <c r="A685" i="2"/>
  <c r="N684" i="2"/>
  <c r="M684" i="2"/>
  <c r="L684" i="2"/>
  <c r="K684" i="2"/>
  <c r="I684" i="2"/>
  <c r="H684" i="2"/>
  <c r="G684" i="2"/>
  <c r="F684" i="2"/>
  <c r="E684" i="2"/>
  <c r="D684" i="2"/>
  <c r="C684" i="2"/>
  <c r="B684" i="2"/>
  <c r="A684" i="2"/>
  <c r="N683" i="2"/>
  <c r="M683" i="2"/>
  <c r="K683" i="2"/>
  <c r="I683" i="2"/>
  <c r="H683" i="2"/>
  <c r="G683" i="2"/>
  <c r="F683" i="2"/>
  <c r="E683" i="2"/>
  <c r="D683" i="2"/>
  <c r="C683" i="2"/>
  <c r="A683" i="2"/>
  <c r="N682" i="2"/>
  <c r="M682" i="2"/>
  <c r="L682" i="2"/>
  <c r="K682" i="2"/>
  <c r="I682" i="2"/>
  <c r="H682" i="2"/>
  <c r="G682" i="2"/>
  <c r="F682" i="2"/>
  <c r="E682" i="2"/>
  <c r="D682" i="2"/>
  <c r="C682" i="2"/>
  <c r="B682" i="2"/>
  <c r="A682" i="2"/>
  <c r="N681" i="2"/>
  <c r="M681" i="2"/>
  <c r="L681" i="2"/>
  <c r="K681" i="2"/>
  <c r="I681" i="2"/>
  <c r="H681" i="2"/>
  <c r="G681" i="2"/>
  <c r="F681" i="2"/>
  <c r="E681" i="2"/>
  <c r="D681" i="2"/>
  <c r="C681" i="2"/>
  <c r="B681" i="2"/>
  <c r="A681" i="2"/>
  <c r="N680" i="2"/>
  <c r="M680" i="2"/>
  <c r="K680" i="2"/>
  <c r="I680" i="2"/>
  <c r="H680" i="2"/>
  <c r="G680" i="2"/>
  <c r="F680" i="2"/>
  <c r="E680" i="2"/>
  <c r="D680" i="2"/>
  <c r="C680" i="2"/>
  <c r="B680" i="2"/>
  <c r="A680" i="2"/>
  <c r="N679" i="2"/>
  <c r="M679" i="2"/>
  <c r="L679" i="2"/>
  <c r="K679" i="2"/>
  <c r="I679" i="2"/>
  <c r="H679" i="2"/>
  <c r="G679" i="2"/>
  <c r="F679" i="2"/>
  <c r="E679" i="2"/>
  <c r="D679" i="2"/>
  <c r="C679" i="2"/>
  <c r="B679" i="2"/>
  <c r="A679" i="2"/>
  <c r="N678" i="2"/>
  <c r="M678" i="2"/>
  <c r="K678" i="2"/>
  <c r="I678" i="2"/>
  <c r="H678" i="2"/>
  <c r="G678" i="2"/>
  <c r="F678" i="2"/>
  <c r="E678" i="2"/>
  <c r="D678" i="2"/>
  <c r="C678" i="2"/>
  <c r="B678" i="2"/>
  <c r="A678" i="2"/>
  <c r="N677" i="2"/>
  <c r="M677" i="2"/>
  <c r="K677" i="2"/>
  <c r="I677" i="2"/>
  <c r="H677" i="2"/>
  <c r="G677" i="2"/>
  <c r="F677" i="2"/>
  <c r="E677" i="2"/>
  <c r="C677" i="2"/>
  <c r="B677" i="2"/>
  <c r="A677" i="2"/>
  <c r="N676" i="2"/>
  <c r="M676" i="2"/>
  <c r="L676" i="2"/>
  <c r="K676" i="2"/>
  <c r="I676" i="2"/>
  <c r="H676" i="2"/>
  <c r="G676" i="2"/>
  <c r="F676" i="2"/>
  <c r="E676" i="2"/>
  <c r="D676" i="2"/>
  <c r="C676" i="2"/>
  <c r="B676" i="2"/>
  <c r="A676" i="2"/>
  <c r="N675" i="2"/>
  <c r="M675" i="2"/>
  <c r="L675" i="2"/>
  <c r="K675" i="2"/>
  <c r="I675" i="2"/>
  <c r="H675" i="2"/>
  <c r="G675" i="2"/>
  <c r="F675" i="2"/>
  <c r="E675" i="2"/>
  <c r="D675" i="2"/>
  <c r="C675" i="2"/>
  <c r="B675" i="2"/>
  <c r="A675" i="2"/>
  <c r="N674" i="2"/>
  <c r="M674" i="2"/>
  <c r="K674" i="2"/>
  <c r="I674" i="2"/>
  <c r="H674" i="2"/>
  <c r="G674" i="2"/>
  <c r="F674" i="2"/>
  <c r="E674" i="2"/>
  <c r="D674" i="2"/>
  <c r="C674" i="2"/>
  <c r="B674" i="2"/>
  <c r="A674" i="2"/>
  <c r="N673" i="2"/>
  <c r="M673" i="2"/>
  <c r="L673" i="2"/>
  <c r="K673" i="2"/>
  <c r="I673" i="2"/>
  <c r="H673" i="2"/>
  <c r="G673" i="2"/>
  <c r="F673" i="2"/>
  <c r="E673" i="2"/>
  <c r="D673" i="2"/>
  <c r="C673" i="2"/>
  <c r="B673" i="2"/>
  <c r="A673" i="2"/>
  <c r="N672" i="2"/>
  <c r="M672" i="2"/>
  <c r="L672" i="2"/>
  <c r="K672" i="2"/>
  <c r="I672" i="2"/>
  <c r="H672" i="2"/>
  <c r="G672" i="2"/>
  <c r="F672" i="2"/>
  <c r="E672" i="2"/>
  <c r="D672" i="2"/>
  <c r="C672" i="2"/>
  <c r="B672" i="2"/>
  <c r="A672" i="2"/>
  <c r="N671" i="2"/>
  <c r="M671" i="2"/>
  <c r="L671" i="2"/>
  <c r="K671" i="2"/>
  <c r="I671" i="2"/>
  <c r="H671" i="2"/>
  <c r="G671" i="2"/>
  <c r="F671" i="2"/>
  <c r="E671" i="2"/>
  <c r="D671" i="2"/>
  <c r="C671" i="2"/>
  <c r="B671" i="2"/>
  <c r="A671" i="2"/>
  <c r="N670" i="2"/>
  <c r="M670" i="2"/>
  <c r="K670" i="2"/>
  <c r="I670" i="2"/>
  <c r="H670" i="2"/>
  <c r="G670" i="2"/>
  <c r="F670" i="2"/>
  <c r="E670" i="2"/>
  <c r="D670" i="2"/>
  <c r="C670" i="2"/>
  <c r="B670" i="2"/>
  <c r="A670" i="2"/>
  <c r="N669" i="2"/>
  <c r="M669" i="2"/>
  <c r="L669" i="2"/>
  <c r="K669" i="2"/>
  <c r="I669" i="2"/>
  <c r="H669" i="2"/>
  <c r="G669" i="2"/>
  <c r="F669" i="2"/>
  <c r="E669" i="2"/>
  <c r="D669" i="2"/>
  <c r="C669" i="2"/>
  <c r="B669" i="2"/>
  <c r="A669" i="2"/>
  <c r="N668" i="2"/>
  <c r="M668" i="2"/>
  <c r="L668" i="2"/>
  <c r="K668" i="2"/>
  <c r="I668" i="2"/>
  <c r="H668" i="2"/>
  <c r="G668" i="2"/>
  <c r="F668" i="2"/>
  <c r="E668" i="2"/>
  <c r="D668" i="2"/>
  <c r="C668" i="2"/>
  <c r="B668" i="2"/>
  <c r="A668" i="2"/>
  <c r="N667" i="2"/>
  <c r="M667" i="2"/>
  <c r="L667" i="2"/>
  <c r="K667" i="2"/>
  <c r="I667" i="2"/>
  <c r="H667" i="2"/>
  <c r="G667" i="2"/>
  <c r="F667" i="2"/>
  <c r="E667" i="2"/>
  <c r="D667" i="2"/>
  <c r="C667" i="2"/>
  <c r="B667" i="2"/>
  <c r="A667" i="2"/>
  <c r="N666" i="2"/>
  <c r="M666" i="2"/>
  <c r="L666" i="2"/>
  <c r="K666" i="2"/>
  <c r="I666" i="2"/>
  <c r="H666" i="2"/>
  <c r="G666" i="2"/>
  <c r="F666" i="2"/>
  <c r="E666" i="2"/>
  <c r="D666" i="2"/>
  <c r="C666" i="2"/>
  <c r="B666" i="2"/>
  <c r="A666" i="2"/>
  <c r="M665" i="2"/>
  <c r="L665" i="2"/>
  <c r="I665" i="2"/>
  <c r="H665" i="2"/>
  <c r="G665" i="2"/>
  <c r="F665" i="2"/>
  <c r="C665" i="2"/>
  <c r="B665" i="2"/>
  <c r="N664" i="2"/>
  <c r="M664" i="2"/>
  <c r="L664" i="2"/>
  <c r="I664" i="2"/>
  <c r="H664" i="2"/>
  <c r="G664" i="2"/>
  <c r="F664" i="2"/>
  <c r="E664" i="2"/>
  <c r="D664" i="2"/>
  <c r="C664" i="2"/>
  <c r="B664" i="2"/>
  <c r="N663" i="2"/>
  <c r="M663" i="2"/>
  <c r="L663" i="2"/>
  <c r="K663" i="2"/>
  <c r="I663" i="2"/>
  <c r="H663" i="2"/>
  <c r="G663" i="2"/>
  <c r="F663" i="2"/>
  <c r="E663" i="2"/>
  <c r="D663" i="2"/>
  <c r="C663" i="2"/>
  <c r="B663" i="2"/>
  <c r="A663" i="2"/>
  <c r="N662" i="2"/>
  <c r="M662" i="2"/>
  <c r="L662" i="2"/>
  <c r="K662" i="2"/>
  <c r="I662" i="2"/>
  <c r="H662" i="2"/>
  <c r="G662" i="2"/>
  <c r="F662" i="2"/>
  <c r="E662" i="2"/>
  <c r="D662" i="2"/>
  <c r="C662" i="2"/>
  <c r="B662" i="2"/>
  <c r="A662" i="2"/>
  <c r="N661" i="2"/>
  <c r="M661" i="2"/>
  <c r="L661" i="2"/>
  <c r="K661" i="2"/>
  <c r="I661" i="2"/>
  <c r="H661" i="2"/>
  <c r="G661" i="2"/>
  <c r="F661" i="2"/>
  <c r="E661" i="2"/>
  <c r="D661" i="2"/>
  <c r="C661" i="2"/>
  <c r="B661" i="2"/>
  <c r="A661" i="2"/>
  <c r="N660" i="2"/>
  <c r="M660" i="2"/>
  <c r="K660" i="2"/>
  <c r="I660" i="2"/>
  <c r="H660" i="2"/>
  <c r="G660" i="2"/>
  <c r="F660" i="2"/>
  <c r="E660" i="2"/>
  <c r="D660" i="2"/>
  <c r="C660" i="2"/>
  <c r="B660" i="2"/>
  <c r="A660" i="2"/>
  <c r="N659" i="2"/>
  <c r="M659" i="2"/>
  <c r="L659" i="2"/>
  <c r="K659" i="2"/>
  <c r="I659" i="2"/>
  <c r="H659" i="2"/>
  <c r="G659" i="2"/>
  <c r="F659" i="2"/>
  <c r="E659" i="2"/>
  <c r="C659" i="2"/>
  <c r="B659" i="2"/>
  <c r="A659" i="2"/>
  <c r="N658" i="2"/>
  <c r="M658" i="2"/>
  <c r="L658" i="2"/>
  <c r="K658" i="2"/>
  <c r="I658" i="2"/>
  <c r="H658" i="2"/>
  <c r="G658" i="2"/>
  <c r="F658" i="2"/>
  <c r="E658" i="2"/>
  <c r="D658" i="2"/>
  <c r="C658" i="2"/>
  <c r="B658" i="2"/>
  <c r="A658" i="2"/>
  <c r="M657" i="2"/>
  <c r="I657" i="2"/>
  <c r="H657" i="2"/>
  <c r="G657" i="2"/>
  <c r="F657" i="2"/>
  <c r="E657" i="2"/>
  <c r="D657" i="2"/>
  <c r="C657" i="2"/>
  <c r="B657" i="2"/>
  <c r="N656" i="2"/>
  <c r="M656" i="2"/>
  <c r="L656" i="2"/>
  <c r="K656" i="2"/>
  <c r="I656" i="2"/>
  <c r="H656" i="2"/>
  <c r="G656" i="2"/>
  <c r="F656" i="2"/>
  <c r="E656" i="2"/>
  <c r="D656" i="2"/>
  <c r="C656" i="2"/>
  <c r="B656" i="2"/>
  <c r="A656" i="2"/>
  <c r="N655" i="2"/>
  <c r="M655" i="2"/>
  <c r="L655" i="2"/>
  <c r="K655" i="2"/>
  <c r="I655" i="2"/>
  <c r="H655" i="2"/>
  <c r="G655" i="2"/>
  <c r="F655" i="2"/>
  <c r="E655" i="2"/>
  <c r="D655" i="2"/>
  <c r="C655" i="2"/>
  <c r="B655" i="2"/>
  <c r="A655" i="2"/>
  <c r="N654" i="2"/>
  <c r="M654" i="2"/>
  <c r="L654" i="2"/>
  <c r="K654" i="2"/>
  <c r="I654" i="2"/>
  <c r="H654" i="2"/>
  <c r="G654" i="2"/>
  <c r="F654" i="2"/>
  <c r="E654" i="2"/>
  <c r="D654" i="2"/>
  <c r="C654" i="2"/>
  <c r="B654" i="2"/>
  <c r="A654" i="2"/>
  <c r="N653" i="2"/>
  <c r="M653" i="2"/>
  <c r="K653" i="2"/>
  <c r="I653" i="2"/>
  <c r="H653" i="2"/>
  <c r="G653" i="2"/>
  <c r="F653" i="2"/>
  <c r="E653" i="2"/>
  <c r="D653" i="2"/>
  <c r="C653" i="2"/>
  <c r="B653" i="2"/>
  <c r="A653" i="2"/>
  <c r="N652" i="2"/>
  <c r="M652" i="2"/>
  <c r="L652" i="2"/>
  <c r="K652" i="2"/>
  <c r="I652" i="2"/>
  <c r="H652" i="2"/>
  <c r="G652" i="2"/>
  <c r="F652" i="2"/>
  <c r="E652" i="2"/>
  <c r="D652" i="2"/>
  <c r="C652" i="2"/>
  <c r="B652" i="2"/>
  <c r="A652" i="2"/>
  <c r="N651" i="2"/>
  <c r="M651" i="2"/>
  <c r="L651" i="2"/>
  <c r="K651" i="2"/>
  <c r="I651" i="2"/>
  <c r="H651" i="2"/>
  <c r="G651" i="2"/>
  <c r="F651" i="2"/>
  <c r="E651" i="2"/>
  <c r="D651" i="2"/>
  <c r="C651" i="2"/>
  <c r="B651" i="2"/>
  <c r="A651" i="2"/>
  <c r="N650" i="2"/>
  <c r="M650" i="2"/>
  <c r="L650" i="2"/>
  <c r="K650" i="2"/>
  <c r="I650" i="2"/>
  <c r="H650" i="2"/>
  <c r="G650" i="2"/>
  <c r="F650" i="2"/>
  <c r="E650" i="2"/>
  <c r="D650" i="2"/>
  <c r="C650" i="2"/>
  <c r="B650" i="2"/>
  <c r="A650" i="2"/>
  <c r="N649" i="2"/>
  <c r="M649" i="2"/>
  <c r="K649" i="2"/>
  <c r="I649" i="2"/>
  <c r="H649" i="2"/>
  <c r="G649" i="2"/>
  <c r="F649" i="2"/>
  <c r="E649" i="2"/>
  <c r="D649" i="2"/>
  <c r="C649" i="2"/>
  <c r="B649" i="2"/>
  <c r="A649" i="2"/>
  <c r="N648" i="2"/>
  <c r="M648" i="2"/>
  <c r="L648" i="2"/>
  <c r="K648" i="2"/>
  <c r="I648" i="2"/>
  <c r="H648" i="2"/>
  <c r="G648" i="2"/>
  <c r="F648" i="2"/>
  <c r="E648" i="2"/>
  <c r="D648" i="2"/>
  <c r="C648" i="2"/>
  <c r="B648" i="2"/>
  <c r="A648" i="2"/>
  <c r="N647" i="2"/>
  <c r="M647" i="2"/>
  <c r="L647" i="2"/>
  <c r="K647" i="2"/>
  <c r="I647" i="2"/>
  <c r="H647" i="2"/>
  <c r="G647" i="2"/>
  <c r="F647" i="2"/>
  <c r="E647" i="2"/>
  <c r="D647" i="2"/>
  <c r="C647" i="2"/>
  <c r="B647" i="2"/>
  <c r="A647" i="2"/>
  <c r="N646" i="2"/>
  <c r="M646" i="2"/>
  <c r="L646" i="2"/>
  <c r="K646" i="2"/>
  <c r="I646" i="2"/>
  <c r="H646" i="2"/>
  <c r="G646" i="2"/>
  <c r="F646" i="2"/>
  <c r="E646" i="2"/>
  <c r="D646" i="2"/>
  <c r="C646" i="2"/>
  <c r="B646" i="2"/>
  <c r="A646" i="2"/>
  <c r="N645" i="2"/>
  <c r="M645" i="2"/>
  <c r="K645" i="2"/>
  <c r="I645" i="2"/>
  <c r="H645" i="2"/>
  <c r="G645" i="2"/>
  <c r="F645" i="2"/>
  <c r="E645" i="2"/>
  <c r="D645" i="2"/>
  <c r="C645" i="2"/>
  <c r="B645" i="2"/>
  <c r="A645" i="2"/>
  <c r="N644" i="2"/>
  <c r="M644" i="2"/>
  <c r="L644" i="2"/>
  <c r="K644" i="2"/>
  <c r="I644" i="2"/>
  <c r="H644" i="2"/>
  <c r="G644" i="2"/>
  <c r="F644" i="2"/>
  <c r="E644" i="2"/>
  <c r="C644" i="2"/>
  <c r="B644" i="2"/>
  <c r="A644" i="2"/>
  <c r="N643" i="2"/>
  <c r="M643" i="2"/>
  <c r="L643" i="2"/>
  <c r="K643" i="2"/>
  <c r="I643" i="2"/>
  <c r="H643" i="2"/>
  <c r="G643" i="2"/>
  <c r="F643" i="2"/>
  <c r="E643" i="2"/>
  <c r="D643" i="2"/>
  <c r="C643" i="2"/>
  <c r="B643" i="2"/>
  <c r="A643" i="2"/>
  <c r="N642" i="2"/>
  <c r="M642" i="2"/>
  <c r="L642" i="2"/>
  <c r="K642" i="2"/>
  <c r="I642" i="2"/>
  <c r="H642" i="2"/>
  <c r="G642" i="2"/>
  <c r="F642" i="2"/>
  <c r="E642" i="2"/>
  <c r="D642" i="2"/>
  <c r="C642" i="2"/>
  <c r="B642" i="2"/>
  <c r="A642" i="2"/>
  <c r="N641" i="2"/>
  <c r="M641" i="2"/>
  <c r="L641" i="2"/>
  <c r="K641" i="2"/>
  <c r="I641" i="2"/>
  <c r="H641" i="2"/>
  <c r="G641" i="2"/>
  <c r="F641" i="2"/>
  <c r="E641" i="2"/>
  <c r="D641" i="2"/>
  <c r="C641" i="2"/>
  <c r="B641" i="2"/>
  <c r="A641" i="2"/>
  <c r="N640" i="2"/>
  <c r="M640" i="2"/>
  <c r="L640" i="2"/>
  <c r="K640" i="2"/>
  <c r="I640" i="2"/>
  <c r="H640" i="2"/>
  <c r="G640" i="2"/>
  <c r="F640" i="2"/>
  <c r="E640" i="2"/>
  <c r="D640" i="2"/>
  <c r="C640" i="2"/>
  <c r="B640" i="2"/>
  <c r="A640" i="2"/>
  <c r="N639" i="2"/>
  <c r="M639" i="2"/>
  <c r="K639" i="2"/>
  <c r="I639" i="2"/>
  <c r="H639" i="2"/>
  <c r="G639" i="2"/>
  <c r="F639" i="2"/>
  <c r="E639" i="2"/>
  <c r="C639" i="2"/>
  <c r="B639" i="2"/>
  <c r="A639" i="2"/>
  <c r="N638" i="2"/>
  <c r="M638" i="2"/>
  <c r="L638" i="2"/>
  <c r="K638" i="2"/>
  <c r="I638" i="2"/>
  <c r="H638" i="2"/>
  <c r="G638" i="2"/>
  <c r="F638" i="2"/>
  <c r="E638" i="2"/>
  <c r="D638" i="2"/>
  <c r="C638" i="2"/>
  <c r="B638" i="2"/>
  <c r="A638" i="2"/>
  <c r="N637" i="2"/>
  <c r="M637" i="2"/>
  <c r="L637" i="2"/>
  <c r="K637" i="2"/>
  <c r="I637" i="2"/>
  <c r="H637" i="2"/>
  <c r="G637" i="2"/>
  <c r="F637" i="2"/>
  <c r="E637" i="2"/>
  <c r="D637" i="2"/>
  <c r="C637" i="2"/>
  <c r="B637" i="2"/>
  <c r="A637" i="2"/>
  <c r="N636" i="2"/>
  <c r="M636" i="2"/>
  <c r="K636" i="2"/>
  <c r="I636" i="2"/>
  <c r="H636" i="2"/>
  <c r="G636" i="2"/>
  <c r="F636" i="2"/>
  <c r="E636" i="2"/>
  <c r="D636" i="2"/>
  <c r="C636" i="2"/>
  <c r="B636" i="2"/>
  <c r="A636" i="2"/>
  <c r="N635" i="2"/>
  <c r="M635" i="2"/>
  <c r="K635" i="2"/>
  <c r="I635" i="2"/>
  <c r="H635" i="2"/>
  <c r="G635" i="2"/>
  <c r="F635" i="2"/>
  <c r="E635" i="2"/>
  <c r="D635" i="2"/>
  <c r="C635" i="2"/>
  <c r="B635" i="2"/>
  <c r="A635" i="2"/>
  <c r="N634" i="2"/>
  <c r="M634" i="2"/>
  <c r="K634" i="2"/>
  <c r="I634" i="2"/>
  <c r="H634" i="2"/>
  <c r="G634" i="2"/>
  <c r="F634" i="2"/>
  <c r="E634" i="2"/>
  <c r="D634" i="2"/>
  <c r="C634" i="2"/>
  <c r="B634" i="2"/>
  <c r="A634" i="2"/>
  <c r="N633" i="2"/>
  <c r="M633" i="2"/>
  <c r="L633" i="2"/>
  <c r="K633" i="2"/>
  <c r="I633" i="2"/>
  <c r="H633" i="2"/>
  <c r="G633" i="2"/>
  <c r="F633" i="2"/>
  <c r="E633" i="2"/>
  <c r="D633" i="2"/>
  <c r="C633" i="2"/>
  <c r="B633" i="2"/>
  <c r="A633" i="2"/>
  <c r="N632" i="2"/>
  <c r="M632" i="2"/>
  <c r="L632" i="2"/>
  <c r="K632" i="2"/>
  <c r="I632" i="2"/>
  <c r="H632" i="2"/>
  <c r="G632" i="2"/>
  <c r="F632" i="2"/>
  <c r="E632" i="2"/>
  <c r="D632" i="2"/>
  <c r="C632" i="2"/>
  <c r="B632" i="2"/>
  <c r="A632" i="2"/>
  <c r="N631" i="2"/>
  <c r="M631" i="2"/>
  <c r="L631" i="2"/>
  <c r="K631" i="2"/>
  <c r="I631" i="2"/>
  <c r="H631" i="2"/>
  <c r="G631" i="2"/>
  <c r="F631" i="2"/>
  <c r="E631" i="2"/>
  <c r="D631" i="2"/>
  <c r="C631" i="2"/>
  <c r="B631" i="2"/>
  <c r="A631" i="2"/>
  <c r="N630" i="2"/>
  <c r="M630" i="2"/>
  <c r="L630" i="2"/>
  <c r="K630" i="2"/>
  <c r="I630" i="2"/>
  <c r="H630" i="2"/>
  <c r="G630" i="2"/>
  <c r="F630" i="2"/>
  <c r="E630" i="2"/>
  <c r="D630" i="2"/>
  <c r="C630" i="2"/>
  <c r="B630" i="2"/>
  <c r="A630" i="2"/>
  <c r="N629" i="2"/>
  <c r="M629" i="2"/>
  <c r="L629" i="2"/>
  <c r="K629" i="2"/>
  <c r="I629" i="2"/>
  <c r="H629" i="2"/>
  <c r="G629" i="2"/>
  <c r="F629" i="2"/>
  <c r="E629" i="2"/>
  <c r="D629" i="2"/>
  <c r="C629" i="2"/>
  <c r="B629" i="2"/>
  <c r="A629" i="2"/>
  <c r="N628" i="2"/>
  <c r="M628" i="2"/>
  <c r="L628" i="2"/>
  <c r="K628" i="2"/>
  <c r="I628" i="2"/>
  <c r="H628" i="2"/>
  <c r="G628" i="2"/>
  <c r="F628" i="2"/>
  <c r="E628" i="2"/>
  <c r="D628" i="2"/>
  <c r="C628" i="2"/>
  <c r="B628" i="2"/>
  <c r="A628" i="2"/>
  <c r="N627" i="2"/>
  <c r="M627" i="2"/>
  <c r="L627" i="2"/>
  <c r="K627" i="2"/>
  <c r="I627" i="2"/>
  <c r="H627" i="2"/>
  <c r="G627" i="2"/>
  <c r="F627" i="2"/>
  <c r="E627" i="2"/>
  <c r="C627" i="2"/>
  <c r="B627" i="2"/>
  <c r="A627" i="2"/>
  <c r="N626" i="2"/>
  <c r="M626" i="2"/>
  <c r="L626" i="2"/>
  <c r="K626" i="2"/>
  <c r="I626" i="2"/>
  <c r="H626" i="2"/>
  <c r="G626" i="2"/>
  <c r="F626" i="2"/>
  <c r="E626" i="2"/>
  <c r="D626" i="2"/>
  <c r="C626" i="2"/>
  <c r="B626" i="2"/>
  <c r="A626" i="2"/>
  <c r="N625" i="2"/>
  <c r="M625" i="2"/>
  <c r="L625" i="2"/>
  <c r="K625" i="2"/>
  <c r="I625" i="2"/>
  <c r="H625" i="2"/>
  <c r="G625" i="2"/>
  <c r="F625" i="2"/>
  <c r="E625" i="2"/>
  <c r="D625" i="2"/>
  <c r="C625" i="2"/>
  <c r="B625" i="2"/>
  <c r="A625" i="2"/>
  <c r="N624" i="2"/>
  <c r="M624" i="2"/>
  <c r="K624" i="2"/>
  <c r="I624" i="2"/>
  <c r="H624" i="2"/>
  <c r="G624" i="2"/>
  <c r="F624" i="2"/>
  <c r="E624" i="2"/>
  <c r="D624" i="2"/>
  <c r="C624" i="2"/>
  <c r="B624" i="2"/>
  <c r="A624" i="2"/>
  <c r="N623" i="2"/>
  <c r="M623" i="2"/>
  <c r="L623" i="2"/>
  <c r="K623" i="2"/>
  <c r="I623" i="2"/>
  <c r="H623" i="2"/>
  <c r="G623" i="2"/>
  <c r="F623" i="2"/>
  <c r="E623" i="2"/>
  <c r="D623" i="2"/>
  <c r="C623" i="2"/>
  <c r="B623" i="2"/>
  <c r="A623" i="2"/>
  <c r="N622" i="2"/>
  <c r="M622" i="2"/>
  <c r="L622" i="2"/>
  <c r="K622" i="2"/>
  <c r="I622" i="2"/>
  <c r="H622" i="2"/>
  <c r="G622" i="2"/>
  <c r="F622" i="2"/>
  <c r="E622" i="2"/>
  <c r="D622" i="2"/>
  <c r="C622" i="2"/>
  <c r="B622" i="2"/>
  <c r="A622" i="2"/>
  <c r="N621" i="2"/>
  <c r="M621" i="2"/>
  <c r="L621" i="2"/>
  <c r="K621" i="2"/>
  <c r="I621" i="2"/>
  <c r="H621" i="2"/>
  <c r="G621" i="2"/>
  <c r="F621" i="2"/>
  <c r="E621" i="2"/>
  <c r="D621" i="2"/>
  <c r="C621" i="2"/>
  <c r="B621" i="2"/>
  <c r="A621" i="2"/>
  <c r="N620" i="2"/>
  <c r="M620" i="2"/>
  <c r="K620" i="2"/>
  <c r="I620" i="2"/>
  <c r="H620" i="2"/>
  <c r="G620" i="2"/>
  <c r="F620" i="2"/>
  <c r="E620" i="2"/>
  <c r="D620" i="2"/>
  <c r="C620" i="2"/>
  <c r="B620" i="2"/>
  <c r="A620" i="2"/>
  <c r="N619" i="2"/>
  <c r="M619" i="2"/>
  <c r="L619" i="2"/>
  <c r="K619" i="2"/>
  <c r="I619" i="2"/>
  <c r="H619" i="2"/>
  <c r="G619" i="2"/>
  <c r="F619" i="2"/>
  <c r="E619" i="2"/>
  <c r="D619" i="2"/>
  <c r="C619" i="2"/>
  <c r="B619" i="2"/>
  <c r="A619" i="2"/>
  <c r="N618" i="2"/>
  <c r="M618" i="2"/>
  <c r="L618" i="2"/>
  <c r="K618" i="2"/>
  <c r="I618" i="2"/>
  <c r="H618" i="2"/>
  <c r="G618" i="2"/>
  <c r="F618" i="2"/>
  <c r="E618" i="2"/>
  <c r="D618" i="2"/>
  <c r="C618" i="2"/>
  <c r="B618" i="2"/>
  <c r="A618" i="2"/>
  <c r="N617" i="2"/>
  <c r="M617" i="2"/>
  <c r="K617" i="2"/>
  <c r="I617" i="2"/>
  <c r="H617" i="2"/>
  <c r="G617" i="2"/>
  <c r="F617" i="2"/>
  <c r="E617" i="2"/>
  <c r="D617" i="2"/>
  <c r="C617" i="2"/>
  <c r="B617" i="2"/>
  <c r="A617" i="2"/>
  <c r="N616" i="2"/>
  <c r="M616" i="2"/>
  <c r="L616" i="2"/>
  <c r="K616" i="2"/>
  <c r="I616" i="2"/>
  <c r="H616" i="2"/>
  <c r="G616" i="2"/>
  <c r="F616" i="2"/>
  <c r="E616" i="2"/>
  <c r="D616" i="2"/>
  <c r="C616" i="2"/>
  <c r="B616" i="2"/>
  <c r="A616" i="2"/>
  <c r="N615" i="2"/>
  <c r="M615" i="2"/>
  <c r="L615" i="2"/>
  <c r="K615" i="2"/>
  <c r="I615" i="2"/>
  <c r="H615" i="2"/>
  <c r="G615" i="2"/>
  <c r="F615" i="2"/>
  <c r="E615" i="2"/>
  <c r="D615" i="2"/>
  <c r="C615" i="2"/>
  <c r="B615" i="2"/>
  <c r="A615" i="2"/>
  <c r="N614" i="2"/>
  <c r="M614" i="2"/>
  <c r="L614" i="2"/>
  <c r="I614" i="2"/>
  <c r="H614" i="2"/>
  <c r="G614" i="2"/>
  <c r="F614" i="2"/>
  <c r="E614" i="2"/>
  <c r="D614" i="2"/>
  <c r="C614" i="2"/>
  <c r="B614" i="2"/>
  <c r="A614" i="2"/>
  <c r="N613" i="2"/>
  <c r="M613" i="2"/>
  <c r="L613" i="2"/>
  <c r="K613" i="2"/>
  <c r="I613" i="2"/>
  <c r="H613" i="2"/>
  <c r="G613" i="2"/>
  <c r="F613" i="2"/>
  <c r="E613" i="2"/>
  <c r="D613" i="2"/>
  <c r="C613" i="2"/>
  <c r="B613" i="2"/>
  <c r="A613" i="2"/>
  <c r="N612" i="2"/>
  <c r="M612" i="2"/>
  <c r="L612" i="2"/>
  <c r="K612" i="2"/>
  <c r="I612" i="2"/>
  <c r="H612" i="2"/>
  <c r="G612" i="2"/>
  <c r="F612" i="2"/>
  <c r="E612" i="2"/>
  <c r="D612" i="2"/>
  <c r="C612" i="2"/>
  <c r="B612" i="2"/>
  <c r="A612" i="2"/>
  <c r="N611" i="2"/>
  <c r="M611" i="2"/>
  <c r="L611" i="2"/>
  <c r="K611" i="2"/>
  <c r="I611" i="2"/>
  <c r="H611" i="2"/>
  <c r="G611" i="2"/>
  <c r="F611" i="2"/>
  <c r="E611" i="2"/>
  <c r="D611" i="2"/>
  <c r="C611" i="2"/>
  <c r="B611" i="2"/>
  <c r="A611" i="2"/>
  <c r="N610" i="2"/>
  <c r="M610" i="2"/>
  <c r="K610" i="2"/>
  <c r="I610" i="2"/>
  <c r="H610" i="2"/>
  <c r="G610" i="2"/>
  <c r="F610" i="2"/>
  <c r="E610" i="2"/>
  <c r="D610" i="2"/>
  <c r="C610" i="2"/>
  <c r="B610" i="2"/>
  <c r="A610" i="2"/>
  <c r="N609" i="2"/>
  <c r="M609" i="2"/>
  <c r="L609" i="2"/>
  <c r="K609" i="2"/>
  <c r="I609" i="2"/>
  <c r="H609" i="2"/>
  <c r="G609" i="2"/>
  <c r="F609" i="2"/>
  <c r="E609" i="2"/>
  <c r="D609" i="2"/>
  <c r="C609" i="2"/>
  <c r="B609" i="2"/>
  <c r="A609" i="2"/>
  <c r="N608" i="2"/>
  <c r="M608" i="2"/>
  <c r="L608" i="2"/>
  <c r="K608" i="2"/>
  <c r="I608" i="2"/>
  <c r="H608" i="2"/>
  <c r="G608" i="2"/>
  <c r="F608" i="2"/>
  <c r="E608" i="2"/>
  <c r="C608" i="2"/>
  <c r="B608" i="2"/>
  <c r="A608" i="2"/>
  <c r="N607" i="2"/>
  <c r="M607" i="2"/>
  <c r="L607" i="2"/>
  <c r="K607" i="2"/>
  <c r="I607" i="2"/>
  <c r="H607" i="2"/>
  <c r="G607" i="2"/>
  <c r="F607" i="2"/>
  <c r="E607" i="2"/>
  <c r="D607" i="2"/>
  <c r="C607" i="2"/>
  <c r="B607" i="2"/>
  <c r="A607" i="2"/>
  <c r="N606" i="2"/>
  <c r="M606" i="2"/>
  <c r="L606" i="2"/>
  <c r="K606" i="2"/>
  <c r="I606" i="2"/>
  <c r="H606" i="2"/>
  <c r="G606" i="2"/>
  <c r="F606" i="2"/>
  <c r="E606" i="2"/>
  <c r="D606" i="2"/>
  <c r="C606" i="2"/>
  <c r="B606" i="2"/>
  <c r="A606" i="2"/>
  <c r="N605" i="2"/>
  <c r="M605" i="2"/>
  <c r="L605" i="2"/>
  <c r="K605" i="2"/>
  <c r="I605" i="2"/>
  <c r="H605" i="2"/>
  <c r="G605" i="2"/>
  <c r="F605" i="2"/>
  <c r="E605" i="2"/>
  <c r="D605" i="2"/>
  <c r="C605" i="2"/>
  <c r="B605" i="2"/>
  <c r="A605" i="2"/>
  <c r="N604" i="2"/>
  <c r="M604" i="2"/>
  <c r="L604" i="2"/>
  <c r="K604" i="2"/>
  <c r="I604" i="2"/>
  <c r="H604" i="2"/>
  <c r="G604" i="2"/>
  <c r="F604" i="2"/>
  <c r="E604" i="2"/>
  <c r="D604" i="2"/>
  <c r="C604" i="2"/>
  <c r="B604" i="2"/>
  <c r="A604" i="2"/>
  <c r="N603" i="2"/>
  <c r="M603" i="2"/>
  <c r="L603" i="2"/>
  <c r="K603" i="2"/>
  <c r="I603" i="2"/>
  <c r="H603" i="2"/>
  <c r="G603" i="2"/>
  <c r="F603" i="2"/>
  <c r="E603" i="2"/>
  <c r="D603" i="2"/>
  <c r="C603" i="2"/>
  <c r="B603" i="2"/>
  <c r="A603" i="2"/>
  <c r="N602" i="2"/>
  <c r="M602" i="2"/>
  <c r="L602" i="2"/>
  <c r="K602" i="2"/>
  <c r="I602" i="2"/>
  <c r="H602" i="2"/>
  <c r="G602" i="2"/>
  <c r="F602" i="2"/>
  <c r="E602" i="2"/>
  <c r="D602" i="2"/>
  <c r="C602" i="2"/>
  <c r="B602" i="2"/>
  <c r="A602" i="2"/>
  <c r="N601" i="2"/>
  <c r="M601" i="2"/>
  <c r="L601" i="2"/>
  <c r="K601" i="2"/>
  <c r="I601" i="2"/>
  <c r="H601" i="2"/>
  <c r="G601" i="2"/>
  <c r="F601" i="2"/>
  <c r="E601" i="2"/>
  <c r="D601" i="2"/>
  <c r="C601" i="2"/>
  <c r="B601" i="2"/>
  <c r="A601" i="2"/>
  <c r="N600" i="2"/>
  <c r="M600" i="2"/>
  <c r="L600" i="2"/>
  <c r="K600" i="2"/>
  <c r="I600" i="2"/>
  <c r="H600" i="2"/>
  <c r="G600" i="2"/>
  <c r="F600" i="2"/>
  <c r="E600" i="2"/>
  <c r="D600" i="2"/>
  <c r="C600" i="2"/>
  <c r="B600" i="2"/>
  <c r="A600" i="2"/>
  <c r="N599" i="2"/>
  <c r="M599" i="2"/>
  <c r="K599" i="2"/>
  <c r="I599" i="2"/>
  <c r="H599" i="2"/>
  <c r="G599" i="2"/>
  <c r="F599" i="2"/>
  <c r="E599" i="2"/>
  <c r="C599" i="2"/>
  <c r="B599" i="2"/>
  <c r="A599" i="2"/>
  <c r="N598" i="2"/>
  <c r="M598" i="2"/>
  <c r="L598" i="2"/>
  <c r="K598" i="2"/>
  <c r="I598" i="2"/>
  <c r="H598" i="2"/>
  <c r="G598" i="2"/>
  <c r="F598" i="2"/>
  <c r="E598" i="2"/>
  <c r="D598" i="2"/>
  <c r="C598" i="2"/>
  <c r="B598" i="2"/>
  <c r="A598" i="2"/>
  <c r="N597" i="2"/>
  <c r="M597" i="2"/>
  <c r="K597" i="2"/>
  <c r="I597" i="2"/>
  <c r="H597" i="2"/>
  <c r="G597" i="2"/>
  <c r="F597" i="2"/>
  <c r="E597" i="2"/>
  <c r="D597" i="2"/>
  <c r="C597" i="2"/>
  <c r="B597" i="2"/>
  <c r="A597" i="2"/>
  <c r="N596" i="2"/>
  <c r="M596" i="2"/>
  <c r="L596" i="2"/>
  <c r="K596" i="2"/>
  <c r="I596" i="2"/>
  <c r="H596" i="2"/>
  <c r="G596" i="2"/>
  <c r="F596" i="2"/>
  <c r="E596" i="2"/>
  <c r="D596" i="2"/>
  <c r="C596" i="2"/>
  <c r="B596" i="2"/>
  <c r="A596" i="2"/>
  <c r="N595" i="2"/>
  <c r="M595" i="2"/>
  <c r="L595" i="2"/>
  <c r="K595" i="2"/>
  <c r="I595" i="2"/>
  <c r="H595" i="2"/>
  <c r="G595" i="2"/>
  <c r="F595" i="2"/>
  <c r="E595" i="2"/>
  <c r="D595" i="2"/>
  <c r="C595" i="2"/>
  <c r="B595" i="2"/>
  <c r="A595" i="2"/>
  <c r="N594" i="2"/>
  <c r="M594" i="2"/>
  <c r="K594" i="2"/>
  <c r="I594" i="2"/>
  <c r="H594" i="2"/>
  <c r="G594" i="2"/>
  <c r="F594" i="2"/>
  <c r="E594" i="2"/>
  <c r="C594" i="2"/>
  <c r="B594" i="2"/>
  <c r="A594" i="2"/>
  <c r="N593" i="2"/>
  <c r="M593" i="2"/>
  <c r="L593" i="2"/>
  <c r="K593" i="2"/>
  <c r="I593" i="2"/>
  <c r="H593" i="2"/>
  <c r="G593" i="2"/>
  <c r="F593" i="2"/>
  <c r="E593" i="2"/>
  <c r="D593" i="2"/>
  <c r="C593" i="2"/>
  <c r="B593" i="2"/>
  <c r="A593" i="2"/>
  <c r="N592" i="2"/>
  <c r="M592" i="2"/>
  <c r="L592" i="2"/>
  <c r="K592" i="2"/>
  <c r="I592" i="2"/>
  <c r="H592" i="2"/>
  <c r="G592" i="2"/>
  <c r="F592" i="2"/>
  <c r="E592" i="2"/>
  <c r="D592" i="2"/>
  <c r="C592" i="2"/>
  <c r="B592" i="2"/>
  <c r="A592" i="2"/>
  <c r="N591" i="2"/>
  <c r="M591" i="2"/>
  <c r="L591" i="2"/>
  <c r="K591" i="2"/>
  <c r="I591" i="2"/>
  <c r="H591" i="2"/>
  <c r="G591" i="2"/>
  <c r="F591" i="2"/>
  <c r="E591" i="2"/>
  <c r="D591" i="2"/>
  <c r="C591" i="2"/>
  <c r="B591" i="2"/>
  <c r="A591" i="2"/>
  <c r="N590" i="2"/>
  <c r="M590" i="2"/>
  <c r="L590" i="2"/>
  <c r="K590" i="2"/>
  <c r="I590" i="2"/>
  <c r="H590" i="2"/>
  <c r="G590" i="2"/>
  <c r="F590" i="2"/>
  <c r="E590" i="2"/>
  <c r="D590" i="2"/>
  <c r="C590" i="2"/>
  <c r="B590" i="2"/>
  <c r="A590" i="2"/>
  <c r="N589" i="2"/>
  <c r="M589" i="2"/>
  <c r="L589" i="2"/>
  <c r="K589" i="2"/>
  <c r="I589" i="2"/>
  <c r="H589" i="2"/>
  <c r="G589" i="2"/>
  <c r="F589" i="2"/>
  <c r="E589" i="2"/>
  <c r="D589" i="2"/>
  <c r="C589" i="2"/>
  <c r="B589" i="2"/>
  <c r="A589" i="2"/>
  <c r="N588" i="2"/>
  <c r="M588" i="2"/>
  <c r="L588" i="2"/>
  <c r="K588" i="2"/>
  <c r="I588" i="2"/>
  <c r="H588" i="2"/>
  <c r="G588" i="2"/>
  <c r="F588" i="2"/>
  <c r="E588" i="2"/>
  <c r="D588" i="2"/>
  <c r="C588" i="2"/>
  <c r="B588" i="2"/>
  <c r="A588" i="2"/>
  <c r="N587" i="2"/>
  <c r="M587" i="2"/>
  <c r="L587" i="2"/>
  <c r="K587" i="2"/>
  <c r="I587" i="2"/>
  <c r="H587" i="2"/>
  <c r="G587" i="2"/>
  <c r="F587" i="2"/>
  <c r="E587" i="2"/>
  <c r="D587" i="2"/>
  <c r="C587" i="2"/>
  <c r="B587" i="2"/>
  <c r="A587" i="2"/>
  <c r="N586" i="2"/>
  <c r="M586" i="2"/>
  <c r="L586" i="2"/>
  <c r="K586" i="2"/>
  <c r="I586" i="2"/>
  <c r="H586" i="2"/>
  <c r="G586" i="2"/>
  <c r="F586" i="2"/>
  <c r="E586" i="2"/>
  <c r="D586" i="2"/>
  <c r="C586" i="2"/>
  <c r="B586" i="2"/>
  <c r="A586" i="2"/>
  <c r="N585" i="2"/>
  <c r="M585" i="2"/>
  <c r="L585" i="2"/>
  <c r="K585" i="2"/>
  <c r="I585" i="2"/>
  <c r="H585" i="2"/>
  <c r="G585" i="2"/>
  <c r="F585" i="2"/>
  <c r="E585" i="2"/>
  <c r="D585" i="2"/>
  <c r="C585" i="2"/>
  <c r="B585" i="2"/>
  <c r="A585" i="2"/>
  <c r="N584" i="2"/>
  <c r="M584" i="2"/>
  <c r="L584" i="2"/>
  <c r="K584" i="2"/>
  <c r="I584" i="2"/>
  <c r="H584" i="2"/>
  <c r="G584" i="2"/>
  <c r="F584" i="2"/>
  <c r="E584" i="2"/>
  <c r="D584" i="2"/>
  <c r="C584" i="2"/>
  <c r="B584" i="2"/>
  <c r="A584" i="2"/>
  <c r="N583" i="2"/>
  <c r="M583" i="2"/>
  <c r="L583" i="2"/>
  <c r="K583" i="2"/>
  <c r="I583" i="2"/>
  <c r="H583" i="2"/>
  <c r="G583" i="2"/>
  <c r="F583" i="2"/>
  <c r="E583" i="2"/>
  <c r="D583" i="2"/>
  <c r="C583" i="2"/>
  <c r="B583" i="2"/>
  <c r="A583" i="2"/>
  <c r="N582" i="2"/>
  <c r="M582" i="2"/>
  <c r="L582" i="2"/>
  <c r="K582" i="2"/>
  <c r="I582" i="2"/>
  <c r="H582" i="2"/>
  <c r="G582" i="2"/>
  <c r="F582" i="2"/>
  <c r="E582" i="2"/>
  <c r="D582" i="2"/>
  <c r="C582" i="2"/>
  <c r="B582" i="2"/>
  <c r="A582" i="2"/>
  <c r="N581" i="2"/>
  <c r="M581" i="2"/>
  <c r="L581" i="2"/>
  <c r="K581" i="2"/>
  <c r="I581" i="2"/>
  <c r="H581" i="2"/>
  <c r="G581" i="2"/>
  <c r="F581" i="2"/>
  <c r="E581" i="2"/>
  <c r="D581" i="2"/>
  <c r="C581" i="2"/>
  <c r="B581" i="2"/>
  <c r="A581" i="2"/>
  <c r="N580" i="2"/>
  <c r="M580" i="2"/>
  <c r="L580" i="2"/>
  <c r="K580" i="2"/>
  <c r="I580" i="2"/>
  <c r="H580" i="2"/>
  <c r="G580" i="2"/>
  <c r="F580" i="2"/>
  <c r="E580" i="2"/>
  <c r="D580" i="2"/>
  <c r="C580" i="2"/>
  <c r="B580" i="2"/>
  <c r="A580" i="2"/>
  <c r="N579" i="2"/>
  <c r="M579" i="2"/>
  <c r="L579" i="2"/>
  <c r="K579" i="2"/>
  <c r="I579" i="2"/>
  <c r="H579" i="2"/>
  <c r="G579" i="2"/>
  <c r="F579" i="2"/>
  <c r="E579" i="2"/>
  <c r="D579" i="2"/>
  <c r="C579" i="2"/>
  <c r="B579" i="2"/>
  <c r="A579" i="2"/>
  <c r="N578" i="2"/>
  <c r="M578" i="2"/>
  <c r="L578" i="2"/>
  <c r="K578" i="2"/>
  <c r="I578" i="2"/>
  <c r="H578" i="2"/>
  <c r="G578" i="2"/>
  <c r="F578" i="2"/>
  <c r="E578" i="2"/>
  <c r="D578" i="2"/>
  <c r="C578" i="2"/>
  <c r="B578" i="2"/>
  <c r="A578" i="2"/>
  <c r="N577" i="2"/>
  <c r="M577" i="2"/>
  <c r="L577" i="2"/>
  <c r="K577" i="2"/>
  <c r="I577" i="2"/>
  <c r="H577" i="2"/>
  <c r="G577" i="2"/>
  <c r="F577" i="2"/>
  <c r="E577" i="2"/>
  <c r="D577" i="2"/>
  <c r="C577" i="2"/>
  <c r="B577" i="2"/>
  <c r="A577" i="2"/>
  <c r="N576" i="2"/>
  <c r="M576" i="2"/>
  <c r="L576" i="2"/>
  <c r="K576" i="2"/>
  <c r="I576" i="2"/>
  <c r="H576" i="2"/>
  <c r="G576" i="2"/>
  <c r="F576" i="2"/>
  <c r="E576" i="2"/>
  <c r="D576" i="2"/>
  <c r="C576" i="2"/>
  <c r="B576" i="2"/>
  <c r="A576" i="2"/>
  <c r="N575" i="2"/>
  <c r="M575" i="2"/>
  <c r="L575" i="2"/>
  <c r="K575" i="2"/>
  <c r="I575" i="2"/>
  <c r="H575" i="2"/>
  <c r="G575" i="2"/>
  <c r="F575" i="2"/>
  <c r="E575" i="2"/>
  <c r="D575" i="2"/>
  <c r="C575" i="2"/>
  <c r="B575" i="2"/>
  <c r="A575" i="2"/>
  <c r="M574" i="2"/>
  <c r="L574" i="2"/>
  <c r="I574" i="2"/>
  <c r="H574" i="2"/>
  <c r="G574" i="2"/>
  <c r="F574" i="2"/>
  <c r="E574" i="2"/>
  <c r="D574" i="2"/>
  <c r="C574" i="2"/>
  <c r="B574" i="2"/>
  <c r="N573" i="2"/>
  <c r="M573" i="2"/>
  <c r="L573" i="2"/>
  <c r="K573" i="2"/>
  <c r="I573" i="2"/>
  <c r="H573" i="2"/>
  <c r="G573" i="2"/>
  <c r="F573" i="2"/>
  <c r="E573" i="2"/>
  <c r="D573" i="2"/>
  <c r="C573" i="2"/>
  <c r="B573" i="2"/>
  <c r="A573" i="2"/>
  <c r="N572" i="2"/>
  <c r="M572" i="2"/>
  <c r="L572" i="2"/>
  <c r="K572" i="2"/>
  <c r="I572" i="2"/>
  <c r="G572" i="2"/>
  <c r="F572" i="2"/>
  <c r="E572" i="2"/>
  <c r="D572" i="2"/>
  <c r="C572" i="2"/>
  <c r="B572" i="2"/>
  <c r="A572" i="2"/>
  <c r="N571" i="2"/>
  <c r="M571" i="2"/>
  <c r="L571" i="2"/>
  <c r="K571" i="2"/>
  <c r="I571" i="2"/>
  <c r="H571" i="2"/>
  <c r="G571" i="2"/>
  <c r="F571" i="2"/>
  <c r="E571" i="2"/>
  <c r="D571" i="2"/>
  <c r="C571" i="2"/>
  <c r="B571" i="2"/>
  <c r="A571" i="2"/>
  <c r="N570" i="2"/>
  <c r="M570" i="2"/>
  <c r="L570" i="2"/>
  <c r="K570" i="2"/>
  <c r="I570" i="2"/>
  <c r="H570" i="2"/>
  <c r="G570" i="2"/>
  <c r="F570" i="2"/>
  <c r="E570" i="2"/>
  <c r="D570" i="2"/>
  <c r="C570" i="2"/>
  <c r="B570" i="2"/>
  <c r="A570" i="2"/>
  <c r="N569" i="2"/>
  <c r="M569" i="2"/>
  <c r="L569" i="2"/>
  <c r="K569" i="2"/>
  <c r="I569" i="2"/>
  <c r="H569" i="2"/>
  <c r="G569" i="2"/>
  <c r="F569" i="2"/>
  <c r="E569" i="2"/>
  <c r="D569" i="2"/>
  <c r="C569" i="2"/>
  <c r="B569" i="2"/>
  <c r="A569" i="2"/>
  <c r="N568" i="2"/>
  <c r="M568" i="2"/>
  <c r="K568" i="2"/>
  <c r="I568" i="2"/>
  <c r="H568" i="2"/>
  <c r="G568" i="2"/>
  <c r="F568" i="2"/>
  <c r="E568" i="2"/>
  <c r="D568" i="2"/>
  <c r="C568" i="2"/>
  <c r="B568" i="2"/>
  <c r="A568" i="2"/>
  <c r="N567" i="2"/>
  <c r="M567" i="2"/>
  <c r="L567" i="2"/>
  <c r="K567" i="2"/>
  <c r="I567" i="2"/>
  <c r="H567" i="2"/>
  <c r="G567" i="2"/>
  <c r="F567" i="2"/>
  <c r="E567" i="2"/>
  <c r="D567" i="2"/>
  <c r="C567" i="2"/>
  <c r="B567" i="2"/>
  <c r="A567" i="2"/>
  <c r="N566" i="2"/>
  <c r="M566" i="2"/>
  <c r="L566" i="2"/>
  <c r="K566" i="2"/>
  <c r="I566" i="2"/>
  <c r="H566" i="2"/>
  <c r="G566" i="2"/>
  <c r="F566" i="2"/>
  <c r="E566" i="2"/>
  <c r="D566" i="2"/>
  <c r="C566" i="2"/>
  <c r="B566" i="2"/>
  <c r="A566" i="2"/>
  <c r="N565" i="2"/>
  <c r="M565" i="2"/>
  <c r="L565" i="2"/>
  <c r="K565" i="2"/>
  <c r="I565" i="2"/>
  <c r="H565" i="2"/>
  <c r="G565" i="2"/>
  <c r="F565" i="2"/>
  <c r="E565" i="2"/>
  <c r="D565" i="2"/>
  <c r="C565" i="2"/>
  <c r="B565" i="2"/>
  <c r="A565" i="2"/>
  <c r="N564" i="2"/>
  <c r="M564" i="2"/>
  <c r="K564" i="2"/>
  <c r="I564" i="2"/>
  <c r="H564" i="2"/>
  <c r="G564" i="2"/>
  <c r="F564" i="2"/>
  <c r="E564" i="2"/>
  <c r="D564" i="2"/>
  <c r="C564" i="2"/>
  <c r="B564" i="2"/>
  <c r="A564" i="2"/>
  <c r="N563" i="2"/>
  <c r="M563" i="2"/>
  <c r="L563" i="2"/>
  <c r="K563" i="2"/>
  <c r="I563" i="2"/>
  <c r="H563" i="2"/>
  <c r="G563" i="2"/>
  <c r="F563" i="2"/>
  <c r="E563" i="2"/>
  <c r="D563" i="2"/>
  <c r="C563" i="2"/>
  <c r="B563" i="2"/>
  <c r="A563" i="2"/>
  <c r="N562" i="2"/>
  <c r="M562" i="2"/>
  <c r="K562" i="2"/>
  <c r="I562" i="2"/>
  <c r="H562" i="2"/>
  <c r="G562" i="2"/>
  <c r="F562" i="2"/>
  <c r="E562" i="2"/>
  <c r="D562" i="2"/>
  <c r="C562" i="2"/>
  <c r="B562" i="2"/>
  <c r="A562" i="2"/>
  <c r="N561" i="2"/>
  <c r="M561" i="2"/>
  <c r="L561" i="2"/>
  <c r="K561" i="2"/>
  <c r="I561" i="2"/>
  <c r="H561" i="2"/>
  <c r="G561" i="2"/>
  <c r="F561" i="2"/>
  <c r="E561" i="2"/>
  <c r="D561" i="2"/>
  <c r="C561" i="2"/>
  <c r="B561" i="2"/>
  <c r="A561" i="2"/>
  <c r="N560" i="2"/>
  <c r="M560" i="2"/>
  <c r="L560" i="2"/>
  <c r="K560" i="2"/>
  <c r="I560" i="2"/>
  <c r="H560" i="2"/>
  <c r="G560" i="2"/>
  <c r="F560" i="2"/>
  <c r="E560" i="2"/>
  <c r="D560" i="2"/>
  <c r="C560" i="2"/>
  <c r="B560" i="2"/>
  <c r="A560" i="2"/>
  <c r="N559" i="2"/>
  <c r="M559" i="2"/>
  <c r="L559" i="2"/>
  <c r="K559" i="2"/>
  <c r="I559" i="2"/>
  <c r="H559" i="2"/>
  <c r="G559" i="2"/>
  <c r="F559" i="2"/>
  <c r="E559" i="2"/>
  <c r="D559" i="2"/>
  <c r="C559" i="2"/>
  <c r="B559" i="2"/>
  <c r="A559" i="2"/>
  <c r="N558" i="2"/>
  <c r="M558" i="2"/>
  <c r="L558" i="2"/>
  <c r="K558" i="2"/>
  <c r="I558" i="2"/>
  <c r="H558" i="2"/>
  <c r="G558" i="2"/>
  <c r="F558" i="2"/>
  <c r="E558" i="2"/>
  <c r="D558" i="2"/>
  <c r="C558" i="2"/>
  <c r="B558" i="2"/>
  <c r="A558" i="2"/>
  <c r="N557" i="2"/>
  <c r="M557" i="2"/>
  <c r="L557" i="2"/>
  <c r="K557" i="2"/>
  <c r="I557" i="2"/>
  <c r="H557" i="2"/>
  <c r="G557" i="2"/>
  <c r="F557" i="2"/>
  <c r="E557" i="2"/>
  <c r="D557" i="2"/>
  <c r="C557" i="2"/>
  <c r="B557" i="2"/>
  <c r="A557" i="2"/>
  <c r="N556" i="2"/>
  <c r="M556" i="2"/>
  <c r="L556" i="2"/>
  <c r="K556" i="2"/>
  <c r="I556" i="2"/>
  <c r="H556" i="2"/>
  <c r="G556" i="2"/>
  <c r="F556" i="2"/>
  <c r="E556" i="2"/>
  <c r="D556" i="2"/>
  <c r="C556" i="2"/>
  <c r="B556" i="2"/>
  <c r="A556" i="2"/>
  <c r="N555" i="2"/>
  <c r="M555" i="2"/>
  <c r="L555" i="2"/>
  <c r="K555" i="2"/>
  <c r="I555" i="2"/>
  <c r="H555" i="2"/>
  <c r="G555" i="2"/>
  <c r="F555" i="2"/>
  <c r="E555" i="2"/>
  <c r="D555" i="2"/>
  <c r="C555" i="2"/>
  <c r="B555" i="2"/>
  <c r="A555" i="2"/>
  <c r="N554" i="2"/>
  <c r="M554" i="2"/>
  <c r="L554" i="2"/>
  <c r="K554" i="2"/>
  <c r="I554" i="2"/>
  <c r="H554" i="2"/>
  <c r="G554" i="2"/>
  <c r="F554" i="2"/>
  <c r="E554" i="2"/>
  <c r="D554" i="2"/>
  <c r="C554" i="2"/>
  <c r="B554" i="2"/>
  <c r="A554" i="2"/>
  <c r="N553" i="2"/>
  <c r="M553" i="2"/>
  <c r="L553" i="2"/>
  <c r="K553" i="2"/>
  <c r="I553" i="2"/>
  <c r="H553" i="2"/>
  <c r="G553" i="2"/>
  <c r="F553" i="2"/>
  <c r="E553" i="2"/>
  <c r="D553" i="2"/>
  <c r="C553" i="2"/>
  <c r="B553" i="2"/>
  <c r="A553" i="2"/>
  <c r="N552" i="2"/>
  <c r="M552" i="2"/>
  <c r="L552" i="2"/>
  <c r="K552" i="2"/>
  <c r="I552" i="2"/>
  <c r="H552" i="2"/>
  <c r="G552" i="2"/>
  <c r="F552" i="2"/>
  <c r="E552" i="2"/>
  <c r="D552" i="2"/>
  <c r="C552" i="2"/>
  <c r="B552" i="2"/>
  <c r="A552" i="2"/>
  <c r="N551" i="2"/>
  <c r="M551" i="2"/>
  <c r="L551" i="2"/>
  <c r="K551" i="2"/>
  <c r="I551" i="2"/>
  <c r="H551" i="2"/>
  <c r="G551" i="2"/>
  <c r="F551" i="2"/>
  <c r="E551" i="2"/>
  <c r="D551" i="2"/>
  <c r="C551" i="2"/>
  <c r="B551" i="2"/>
  <c r="A551" i="2"/>
  <c r="N550" i="2"/>
  <c r="M550" i="2"/>
  <c r="K550" i="2"/>
  <c r="I550" i="2"/>
  <c r="H550" i="2"/>
  <c r="G550" i="2"/>
  <c r="F550" i="2"/>
  <c r="E550" i="2"/>
  <c r="D550" i="2"/>
  <c r="C550" i="2"/>
  <c r="B550" i="2"/>
  <c r="A550" i="2"/>
  <c r="N549" i="2"/>
  <c r="M549" i="2"/>
  <c r="L549" i="2"/>
  <c r="K549" i="2"/>
  <c r="I549" i="2"/>
  <c r="H549" i="2"/>
  <c r="G549" i="2"/>
  <c r="F549" i="2"/>
  <c r="E549" i="2"/>
  <c r="D549" i="2"/>
  <c r="C549" i="2"/>
  <c r="B549" i="2"/>
  <c r="A549" i="2"/>
  <c r="N548" i="2"/>
  <c r="M548" i="2"/>
  <c r="L548" i="2"/>
  <c r="K548" i="2"/>
  <c r="I548" i="2"/>
  <c r="H548" i="2"/>
  <c r="G548" i="2"/>
  <c r="F548" i="2"/>
  <c r="E548" i="2"/>
  <c r="D548" i="2"/>
  <c r="C548" i="2"/>
  <c r="B548" i="2"/>
  <c r="A548" i="2"/>
  <c r="N547" i="2"/>
  <c r="M547" i="2"/>
  <c r="L547" i="2"/>
  <c r="K547" i="2"/>
  <c r="I547" i="2"/>
  <c r="H547" i="2"/>
  <c r="G547" i="2"/>
  <c r="F547" i="2"/>
  <c r="E547" i="2"/>
  <c r="D547" i="2"/>
  <c r="C547" i="2"/>
  <c r="B547" i="2"/>
  <c r="A547" i="2"/>
  <c r="N546" i="2"/>
  <c r="M546" i="2"/>
  <c r="L546" i="2"/>
  <c r="K546" i="2"/>
  <c r="I546" i="2"/>
  <c r="H546" i="2"/>
  <c r="G546" i="2"/>
  <c r="F546" i="2"/>
  <c r="E546" i="2"/>
  <c r="D546" i="2"/>
  <c r="C546" i="2"/>
  <c r="B546" i="2"/>
  <c r="A546" i="2"/>
  <c r="N545" i="2"/>
  <c r="M545" i="2"/>
  <c r="L545" i="2"/>
  <c r="K545" i="2"/>
  <c r="I545" i="2"/>
  <c r="H545" i="2"/>
  <c r="G545" i="2"/>
  <c r="F545" i="2"/>
  <c r="E545" i="2"/>
  <c r="D545" i="2"/>
  <c r="C545" i="2"/>
  <c r="B545" i="2"/>
  <c r="A545" i="2"/>
  <c r="N544" i="2"/>
  <c r="M544" i="2"/>
  <c r="L544" i="2"/>
  <c r="K544" i="2"/>
  <c r="I544" i="2"/>
  <c r="H544" i="2"/>
  <c r="G544" i="2"/>
  <c r="F544" i="2"/>
  <c r="E544" i="2"/>
  <c r="D544" i="2"/>
  <c r="C544" i="2"/>
  <c r="B544" i="2"/>
  <c r="A544" i="2"/>
  <c r="N543" i="2"/>
  <c r="M543" i="2"/>
  <c r="L543" i="2"/>
  <c r="I543" i="2"/>
  <c r="H543" i="2"/>
  <c r="G543" i="2"/>
  <c r="F543" i="2"/>
  <c r="E543" i="2"/>
  <c r="D543" i="2"/>
  <c r="C543" i="2"/>
  <c r="B543" i="2"/>
  <c r="N542" i="2"/>
  <c r="M542" i="2"/>
  <c r="K542" i="2"/>
  <c r="I542" i="2"/>
  <c r="H542" i="2"/>
  <c r="G542" i="2"/>
  <c r="F542" i="2"/>
  <c r="E542" i="2"/>
  <c r="C542" i="2"/>
  <c r="B542" i="2"/>
  <c r="M541" i="2"/>
  <c r="L541" i="2"/>
  <c r="I541" i="2"/>
  <c r="H541" i="2"/>
  <c r="G541" i="2"/>
  <c r="F541" i="2"/>
  <c r="C541" i="2"/>
  <c r="B541" i="2"/>
  <c r="N540" i="2"/>
  <c r="M540" i="2"/>
  <c r="L540" i="2"/>
  <c r="K540" i="2"/>
  <c r="I540" i="2"/>
  <c r="H540" i="2"/>
  <c r="G540" i="2"/>
  <c r="F540" i="2"/>
  <c r="E540" i="2"/>
  <c r="D540" i="2"/>
  <c r="C540" i="2"/>
  <c r="B540" i="2"/>
  <c r="A540" i="2"/>
  <c r="N539" i="2"/>
  <c r="M539" i="2"/>
  <c r="L539" i="2"/>
  <c r="I539" i="2"/>
  <c r="H539" i="2"/>
  <c r="G539" i="2"/>
  <c r="F539" i="2"/>
  <c r="E539" i="2"/>
  <c r="D539" i="2"/>
  <c r="C539" i="2"/>
  <c r="B539" i="2"/>
  <c r="N538" i="2"/>
  <c r="M538" i="2"/>
  <c r="L538" i="2"/>
  <c r="K538" i="2"/>
  <c r="I538" i="2"/>
  <c r="H538" i="2"/>
  <c r="G538" i="2"/>
  <c r="F538" i="2"/>
  <c r="E538" i="2"/>
  <c r="D538" i="2"/>
  <c r="C538" i="2"/>
  <c r="B538" i="2"/>
  <c r="A538" i="2"/>
  <c r="N537" i="2"/>
  <c r="M537" i="2"/>
  <c r="K537" i="2"/>
  <c r="I537" i="2"/>
  <c r="H537" i="2"/>
  <c r="G537" i="2"/>
  <c r="F537" i="2"/>
  <c r="E537" i="2"/>
  <c r="D537" i="2"/>
  <c r="C537" i="2"/>
  <c r="B537" i="2"/>
  <c r="A537" i="2"/>
  <c r="N536" i="2"/>
  <c r="M536" i="2"/>
  <c r="L536" i="2"/>
  <c r="K536" i="2"/>
  <c r="I536" i="2"/>
  <c r="H536" i="2"/>
  <c r="G536" i="2"/>
  <c r="F536" i="2"/>
  <c r="E536" i="2"/>
  <c r="D536" i="2"/>
  <c r="C536" i="2"/>
  <c r="B536" i="2"/>
  <c r="A536" i="2"/>
  <c r="N535" i="2"/>
  <c r="M535" i="2"/>
  <c r="L535" i="2"/>
  <c r="K535" i="2"/>
  <c r="I535" i="2"/>
  <c r="H535" i="2"/>
  <c r="G535" i="2"/>
  <c r="F535" i="2"/>
  <c r="E535" i="2"/>
  <c r="D535" i="2"/>
  <c r="C535" i="2"/>
  <c r="B535" i="2"/>
  <c r="A535" i="2"/>
  <c r="N534" i="2"/>
  <c r="M534" i="2"/>
  <c r="L534" i="2"/>
  <c r="K534" i="2"/>
  <c r="I534" i="2"/>
  <c r="H534" i="2"/>
  <c r="G534" i="2"/>
  <c r="F534" i="2"/>
  <c r="E534" i="2"/>
  <c r="D534" i="2"/>
  <c r="C534" i="2"/>
  <c r="B534" i="2"/>
  <c r="A534" i="2"/>
  <c r="N533" i="2"/>
  <c r="M533" i="2"/>
  <c r="L533" i="2"/>
  <c r="K533" i="2"/>
  <c r="I533" i="2"/>
  <c r="H533" i="2"/>
  <c r="G533" i="2"/>
  <c r="F533" i="2"/>
  <c r="E533" i="2"/>
  <c r="D533" i="2"/>
  <c r="C533" i="2"/>
  <c r="B533" i="2"/>
  <c r="A533" i="2"/>
  <c r="N532" i="2"/>
  <c r="M532" i="2"/>
  <c r="K532" i="2"/>
  <c r="I532" i="2"/>
  <c r="H532" i="2"/>
  <c r="G532" i="2"/>
  <c r="F532" i="2"/>
  <c r="E532" i="2"/>
  <c r="D532" i="2"/>
  <c r="C532" i="2"/>
  <c r="B532" i="2"/>
  <c r="A532" i="2"/>
  <c r="N531" i="2"/>
  <c r="M531" i="2"/>
  <c r="L531" i="2"/>
  <c r="K531" i="2"/>
  <c r="I531" i="2"/>
  <c r="H531" i="2"/>
  <c r="G531" i="2"/>
  <c r="F531" i="2"/>
  <c r="E531" i="2"/>
  <c r="D531" i="2"/>
  <c r="C531" i="2"/>
  <c r="B531" i="2"/>
  <c r="A531" i="2"/>
  <c r="N530" i="2"/>
  <c r="M530" i="2"/>
  <c r="K530" i="2"/>
  <c r="I530" i="2"/>
  <c r="H530" i="2"/>
  <c r="G530" i="2"/>
  <c r="F530" i="2"/>
  <c r="E530" i="2"/>
  <c r="D530" i="2"/>
  <c r="C530" i="2"/>
  <c r="B530" i="2"/>
  <c r="A530" i="2"/>
  <c r="N529" i="2"/>
  <c r="M529" i="2"/>
  <c r="L529" i="2"/>
  <c r="K529" i="2"/>
  <c r="I529" i="2"/>
  <c r="H529" i="2"/>
  <c r="G529" i="2"/>
  <c r="F529" i="2"/>
  <c r="E529" i="2"/>
  <c r="D529" i="2"/>
  <c r="C529" i="2"/>
  <c r="B529" i="2"/>
  <c r="A529" i="2"/>
  <c r="N528" i="2"/>
  <c r="M528" i="2"/>
  <c r="K528" i="2"/>
  <c r="I528" i="2"/>
  <c r="H528" i="2"/>
  <c r="G528" i="2"/>
  <c r="F528" i="2"/>
  <c r="E528" i="2"/>
  <c r="D528" i="2"/>
  <c r="C528" i="2"/>
  <c r="B528" i="2"/>
  <c r="A528" i="2"/>
  <c r="N527" i="2"/>
  <c r="M527" i="2"/>
  <c r="L527" i="2"/>
  <c r="K527" i="2"/>
  <c r="I527" i="2"/>
  <c r="H527" i="2"/>
  <c r="G527" i="2"/>
  <c r="F527" i="2"/>
  <c r="E527" i="2"/>
  <c r="D527" i="2"/>
  <c r="C527" i="2"/>
  <c r="B527" i="2"/>
  <c r="A527" i="2"/>
  <c r="N526" i="2"/>
  <c r="M526" i="2"/>
  <c r="L526" i="2"/>
  <c r="K526" i="2"/>
  <c r="I526" i="2"/>
  <c r="H526" i="2"/>
  <c r="G526" i="2"/>
  <c r="F526" i="2"/>
  <c r="E526" i="2"/>
  <c r="D526" i="2"/>
  <c r="C526" i="2"/>
  <c r="B526" i="2"/>
  <c r="A526" i="2"/>
  <c r="N525" i="2"/>
  <c r="M525" i="2"/>
  <c r="L525" i="2"/>
  <c r="K525" i="2"/>
  <c r="I525" i="2"/>
  <c r="H525" i="2"/>
  <c r="G525" i="2"/>
  <c r="F525" i="2"/>
  <c r="E525" i="2"/>
  <c r="D525" i="2"/>
  <c r="C525" i="2"/>
  <c r="B525" i="2"/>
  <c r="A525" i="2"/>
  <c r="N524" i="2"/>
  <c r="M524" i="2"/>
  <c r="L524" i="2"/>
  <c r="K524" i="2"/>
  <c r="I524" i="2"/>
  <c r="H524" i="2"/>
  <c r="G524" i="2"/>
  <c r="F524" i="2"/>
  <c r="E524" i="2"/>
  <c r="D524" i="2"/>
  <c r="C524" i="2"/>
  <c r="B524" i="2"/>
  <c r="A524" i="2"/>
  <c r="N523" i="2"/>
  <c r="M523" i="2"/>
  <c r="L523" i="2"/>
  <c r="K523" i="2"/>
  <c r="I523" i="2"/>
  <c r="H523" i="2"/>
  <c r="G523" i="2"/>
  <c r="F523" i="2"/>
  <c r="E523" i="2"/>
  <c r="D523" i="2"/>
  <c r="C523" i="2"/>
  <c r="B523" i="2"/>
  <c r="A523" i="2"/>
  <c r="N522" i="2"/>
  <c r="M522" i="2"/>
  <c r="L522" i="2"/>
  <c r="K522" i="2"/>
  <c r="I522" i="2"/>
  <c r="H522" i="2"/>
  <c r="G522" i="2"/>
  <c r="F522" i="2"/>
  <c r="E522" i="2"/>
  <c r="C522" i="2"/>
  <c r="B522" i="2"/>
  <c r="A522" i="2"/>
  <c r="N521" i="2"/>
  <c r="M521" i="2"/>
  <c r="L521" i="2"/>
  <c r="K521" i="2"/>
  <c r="I521" i="2"/>
  <c r="H521" i="2"/>
  <c r="G521" i="2"/>
  <c r="F521" i="2"/>
  <c r="E521" i="2"/>
  <c r="D521" i="2"/>
  <c r="C521" i="2"/>
  <c r="B521" i="2"/>
  <c r="A521" i="2"/>
  <c r="N520" i="2"/>
  <c r="M520" i="2"/>
  <c r="L520" i="2"/>
  <c r="K520" i="2"/>
  <c r="I520" i="2"/>
  <c r="H520" i="2"/>
  <c r="G520" i="2"/>
  <c r="F520" i="2"/>
  <c r="E520" i="2"/>
  <c r="D520" i="2"/>
  <c r="C520" i="2"/>
  <c r="B520" i="2"/>
  <c r="A520" i="2"/>
  <c r="N519" i="2"/>
  <c r="M519" i="2"/>
  <c r="L519" i="2"/>
  <c r="K519" i="2"/>
  <c r="I519" i="2"/>
  <c r="H519" i="2"/>
  <c r="G519" i="2"/>
  <c r="F519" i="2"/>
  <c r="E519" i="2"/>
  <c r="D519" i="2"/>
  <c r="C519" i="2"/>
  <c r="B519" i="2"/>
  <c r="A519" i="2"/>
  <c r="N518" i="2"/>
  <c r="L518" i="2"/>
  <c r="K518" i="2"/>
  <c r="I518" i="2"/>
  <c r="H518" i="2"/>
  <c r="G518" i="2"/>
  <c r="F518" i="2"/>
  <c r="E518" i="2"/>
  <c r="D518" i="2"/>
  <c r="C518" i="2"/>
  <c r="B518" i="2"/>
  <c r="A518" i="2"/>
  <c r="N517" i="2"/>
  <c r="M517" i="2"/>
  <c r="L517" i="2"/>
  <c r="K517" i="2"/>
  <c r="I517" i="2"/>
  <c r="H517" i="2"/>
  <c r="G517" i="2"/>
  <c r="F517" i="2"/>
  <c r="E517" i="2"/>
  <c r="D517" i="2"/>
  <c r="C517" i="2"/>
  <c r="B517" i="2"/>
  <c r="A517" i="2"/>
  <c r="N516" i="2"/>
  <c r="M516" i="2"/>
  <c r="L516" i="2"/>
  <c r="K516" i="2"/>
  <c r="I516" i="2"/>
  <c r="H516" i="2"/>
  <c r="G516" i="2"/>
  <c r="F516" i="2"/>
  <c r="E516" i="2"/>
  <c r="D516" i="2"/>
  <c r="C516" i="2"/>
  <c r="B516" i="2"/>
  <c r="A516" i="2"/>
  <c r="M515" i="2"/>
  <c r="L515" i="2"/>
  <c r="I515" i="2"/>
  <c r="H515" i="2"/>
  <c r="G515" i="2"/>
  <c r="F515" i="2"/>
  <c r="E515" i="2"/>
  <c r="D515" i="2"/>
  <c r="C515" i="2"/>
  <c r="B515" i="2"/>
  <c r="N514" i="2"/>
  <c r="M514" i="2"/>
  <c r="L514" i="2"/>
  <c r="K514" i="2"/>
  <c r="I514" i="2"/>
  <c r="H514" i="2"/>
  <c r="G514" i="2"/>
  <c r="F514" i="2"/>
  <c r="E514" i="2"/>
  <c r="D514" i="2"/>
  <c r="C514" i="2"/>
  <c r="B514" i="2"/>
  <c r="A514" i="2"/>
  <c r="N513" i="2"/>
  <c r="M513" i="2"/>
  <c r="L513" i="2"/>
  <c r="K513" i="2"/>
  <c r="I513" i="2"/>
  <c r="H513" i="2"/>
  <c r="G513" i="2"/>
  <c r="F513" i="2"/>
  <c r="E513" i="2"/>
  <c r="D513" i="2"/>
  <c r="C513" i="2"/>
  <c r="B513" i="2"/>
  <c r="A513" i="2"/>
  <c r="N512" i="2"/>
  <c r="M512" i="2"/>
  <c r="K512" i="2"/>
  <c r="I512" i="2"/>
  <c r="H512" i="2"/>
  <c r="G512" i="2"/>
  <c r="F512" i="2"/>
  <c r="E512" i="2"/>
  <c r="D512" i="2"/>
  <c r="C512" i="2"/>
  <c r="B512" i="2"/>
  <c r="A512" i="2"/>
  <c r="N511" i="2"/>
  <c r="M511" i="2"/>
  <c r="L511" i="2"/>
  <c r="K511" i="2"/>
  <c r="I511" i="2"/>
  <c r="H511" i="2"/>
  <c r="G511" i="2"/>
  <c r="F511" i="2"/>
  <c r="E511" i="2"/>
  <c r="D511" i="2"/>
  <c r="C511" i="2"/>
  <c r="B511" i="2"/>
  <c r="A511" i="2"/>
  <c r="N510" i="2"/>
  <c r="M510" i="2"/>
  <c r="K510" i="2"/>
  <c r="I510" i="2"/>
  <c r="H510" i="2"/>
  <c r="G510" i="2"/>
  <c r="F510" i="2"/>
  <c r="E510" i="2"/>
  <c r="D510" i="2"/>
  <c r="C510" i="2"/>
  <c r="B510" i="2"/>
  <c r="A510" i="2"/>
  <c r="N509" i="2"/>
  <c r="M509" i="2"/>
  <c r="L509" i="2"/>
  <c r="K509" i="2"/>
  <c r="I509" i="2"/>
  <c r="H509" i="2"/>
  <c r="G509" i="2"/>
  <c r="F509" i="2"/>
  <c r="E509" i="2"/>
  <c r="D509" i="2"/>
  <c r="C509" i="2"/>
  <c r="B509" i="2"/>
  <c r="A509" i="2"/>
  <c r="N508" i="2"/>
  <c r="M508" i="2"/>
  <c r="L508" i="2"/>
  <c r="K508" i="2"/>
  <c r="I508" i="2"/>
  <c r="H508" i="2"/>
  <c r="G508" i="2"/>
  <c r="F508" i="2"/>
  <c r="E508" i="2"/>
  <c r="D508" i="2"/>
  <c r="C508" i="2"/>
  <c r="B508" i="2"/>
  <c r="A508" i="2"/>
  <c r="N507" i="2"/>
  <c r="M507" i="2"/>
  <c r="L507" i="2"/>
  <c r="K507" i="2"/>
  <c r="I507" i="2"/>
  <c r="H507" i="2"/>
  <c r="G507" i="2"/>
  <c r="F507" i="2"/>
  <c r="E507" i="2"/>
  <c r="D507" i="2"/>
  <c r="C507" i="2"/>
  <c r="B507" i="2"/>
  <c r="A507" i="2"/>
  <c r="N506" i="2"/>
  <c r="M506" i="2"/>
  <c r="L506" i="2"/>
  <c r="K506" i="2"/>
  <c r="I506" i="2"/>
  <c r="H506" i="2"/>
  <c r="G506" i="2"/>
  <c r="F506" i="2"/>
  <c r="E506" i="2"/>
  <c r="D506" i="2"/>
  <c r="C506" i="2"/>
  <c r="B506" i="2"/>
  <c r="A506" i="2"/>
  <c r="N505" i="2"/>
  <c r="M505" i="2"/>
  <c r="L505" i="2"/>
  <c r="K505" i="2"/>
  <c r="I505" i="2"/>
  <c r="H505" i="2"/>
  <c r="G505" i="2"/>
  <c r="F505" i="2"/>
  <c r="E505" i="2"/>
  <c r="D505" i="2"/>
  <c r="C505" i="2"/>
  <c r="B505" i="2"/>
  <c r="A505" i="2"/>
  <c r="M504" i="2"/>
  <c r="L504" i="2"/>
  <c r="K504" i="2"/>
  <c r="I504" i="2"/>
  <c r="H504" i="2"/>
  <c r="G504" i="2"/>
  <c r="F504" i="2"/>
  <c r="E504" i="2"/>
  <c r="D504" i="2"/>
  <c r="C504" i="2"/>
  <c r="B504" i="2"/>
  <c r="N503" i="2"/>
  <c r="M503" i="2"/>
  <c r="L503" i="2"/>
  <c r="K503" i="2"/>
  <c r="I503" i="2"/>
  <c r="H503" i="2"/>
  <c r="G503" i="2"/>
  <c r="F503" i="2"/>
  <c r="E503" i="2"/>
  <c r="D503" i="2"/>
  <c r="C503" i="2"/>
  <c r="B503" i="2"/>
  <c r="A503" i="2"/>
  <c r="M502" i="2"/>
  <c r="L502" i="2"/>
  <c r="I502" i="2"/>
  <c r="H502" i="2"/>
  <c r="G502" i="2"/>
  <c r="F502" i="2"/>
  <c r="C502" i="2"/>
  <c r="B502" i="2"/>
  <c r="N501" i="2"/>
  <c r="M501" i="2"/>
  <c r="L501" i="2"/>
  <c r="K501" i="2"/>
  <c r="I501" i="2"/>
  <c r="H501" i="2"/>
  <c r="G501" i="2"/>
  <c r="F501" i="2"/>
  <c r="E501" i="2"/>
  <c r="D501" i="2"/>
  <c r="C501" i="2"/>
  <c r="B501" i="2"/>
  <c r="A501" i="2"/>
  <c r="N500" i="2"/>
  <c r="M500" i="2"/>
  <c r="K500" i="2"/>
  <c r="I500" i="2"/>
  <c r="H500" i="2"/>
  <c r="G500" i="2"/>
  <c r="F500" i="2"/>
  <c r="E500" i="2"/>
  <c r="D500" i="2"/>
  <c r="C500" i="2"/>
  <c r="B500" i="2"/>
  <c r="A500" i="2"/>
  <c r="N499" i="2"/>
  <c r="M499" i="2"/>
  <c r="L499" i="2"/>
  <c r="K499" i="2"/>
  <c r="I499" i="2"/>
  <c r="H499" i="2"/>
  <c r="G499" i="2"/>
  <c r="F499" i="2"/>
  <c r="E499" i="2"/>
  <c r="D499" i="2"/>
  <c r="C499" i="2"/>
  <c r="B499" i="2"/>
  <c r="A499" i="2"/>
  <c r="N498" i="2"/>
  <c r="M498" i="2"/>
  <c r="L498" i="2"/>
  <c r="K498" i="2"/>
  <c r="I498" i="2"/>
  <c r="H498" i="2"/>
  <c r="G498" i="2"/>
  <c r="F498" i="2"/>
  <c r="E498" i="2"/>
  <c r="D498" i="2"/>
  <c r="C498" i="2"/>
  <c r="B498" i="2"/>
  <c r="A498" i="2"/>
  <c r="M497" i="2"/>
  <c r="L497" i="2"/>
  <c r="I497" i="2"/>
  <c r="H497" i="2"/>
  <c r="G497" i="2"/>
  <c r="F497" i="2"/>
  <c r="E497" i="2"/>
  <c r="D497" i="2"/>
  <c r="C497" i="2"/>
  <c r="B497" i="2"/>
  <c r="N496" i="2"/>
  <c r="M496" i="2"/>
  <c r="L496" i="2"/>
  <c r="K496" i="2"/>
  <c r="I496" i="2"/>
  <c r="H496" i="2"/>
  <c r="G496" i="2"/>
  <c r="F496" i="2"/>
  <c r="E496" i="2"/>
  <c r="D496" i="2"/>
  <c r="C496" i="2"/>
  <c r="B496" i="2"/>
  <c r="A496" i="2"/>
  <c r="N495" i="2"/>
  <c r="M495" i="2"/>
  <c r="L495" i="2"/>
  <c r="K495" i="2"/>
  <c r="I495" i="2"/>
  <c r="H495" i="2"/>
  <c r="G495" i="2"/>
  <c r="F495" i="2"/>
  <c r="E495" i="2"/>
  <c r="C495" i="2"/>
  <c r="B495" i="2"/>
  <c r="A495" i="2"/>
  <c r="N494" i="2"/>
  <c r="M494" i="2"/>
  <c r="K494" i="2"/>
  <c r="I494" i="2"/>
  <c r="H494" i="2"/>
  <c r="G494" i="2"/>
  <c r="F494" i="2"/>
  <c r="E494" i="2"/>
  <c r="D494" i="2"/>
  <c r="C494" i="2"/>
  <c r="B494" i="2"/>
  <c r="A494" i="2"/>
  <c r="N493" i="2"/>
  <c r="M493" i="2"/>
  <c r="L493" i="2"/>
  <c r="K493" i="2"/>
  <c r="I493" i="2"/>
  <c r="H493" i="2"/>
  <c r="G493" i="2"/>
  <c r="F493" i="2"/>
  <c r="E493" i="2"/>
  <c r="D493" i="2"/>
  <c r="C493" i="2"/>
  <c r="B493" i="2"/>
  <c r="A493" i="2"/>
  <c r="N492" i="2"/>
  <c r="M492" i="2"/>
  <c r="L492" i="2"/>
  <c r="K492" i="2"/>
  <c r="I492" i="2"/>
  <c r="H492" i="2"/>
  <c r="G492" i="2"/>
  <c r="F492" i="2"/>
  <c r="E492" i="2"/>
  <c r="D492" i="2"/>
  <c r="C492" i="2"/>
  <c r="B492" i="2"/>
  <c r="A492" i="2"/>
  <c r="N491" i="2"/>
  <c r="M491" i="2"/>
  <c r="L491" i="2"/>
  <c r="K491" i="2"/>
  <c r="I491" i="2"/>
  <c r="H491" i="2"/>
  <c r="G491" i="2"/>
  <c r="F491" i="2"/>
  <c r="E491" i="2"/>
  <c r="D491" i="2"/>
  <c r="C491" i="2"/>
  <c r="B491" i="2"/>
  <c r="A491" i="2"/>
  <c r="N490" i="2"/>
  <c r="M490" i="2"/>
  <c r="K490" i="2"/>
  <c r="I490" i="2"/>
  <c r="H490" i="2"/>
  <c r="G490" i="2"/>
  <c r="F490" i="2"/>
  <c r="E490" i="2"/>
  <c r="D490" i="2"/>
  <c r="C490" i="2"/>
  <c r="B490" i="2"/>
  <c r="A490" i="2"/>
  <c r="N489" i="2"/>
  <c r="M489" i="2"/>
  <c r="L489" i="2"/>
  <c r="K489" i="2"/>
  <c r="I489" i="2"/>
  <c r="H489" i="2"/>
  <c r="G489" i="2"/>
  <c r="F489" i="2"/>
  <c r="E489" i="2"/>
  <c r="C489" i="2"/>
  <c r="B489" i="2"/>
  <c r="A489" i="2"/>
  <c r="N488" i="2"/>
  <c r="M488" i="2"/>
  <c r="L488" i="2"/>
  <c r="K488" i="2"/>
  <c r="I488" i="2"/>
  <c r="H488" i="2"/>
  <c r="G488" i="2"/>
  <c r="F488" i="2"/>
  <c r="E488" i="2"/>
  <c r="C488" i="2"/>
  <c r="B488" i="2"/>
  <c r="A488" i="2"/>
  <c r="N487" i="2"/>
  <c r="M487" i="2"/>
  <c r="L487" i="2"/>
  <c r="I487" i="2"/>
  <c r="H487" i="2"/>
  <c r="G487" i="2"/>
  <c r="F487" i="2"/>
  <c r="E487" i="2"/>
  <c r="D487" i="2"/>
  <c r="C487" i="2"/>
  <c r="B487" i="2"/>
  <c r="N486" i="2"/>
  <c r="M486" i="2"/>
  <c r="L486" i="2"/>
  <c r="K486" i="2"/>
  <c r="I486" i="2"/>
  <c r="H486" i="2"/>
  <c r="G486" i="2"/>
  <c r="F486" i="2"/>
  <c r="E486" i="2"/>
  <c r="D486" i="2"/>
  <c r="C486" i="2"/>
  <c r="B486" i="2"/>
  <c r="A486" i="2"/>
  <c r="N485" i="2"/>
  <c r="M485" i="2"/>
  <c r="L485" i="2"/>
  <c r="K485" i="2"/>
  <c r="I485" i="2"/>
  <c r="H485" i="2"/>
  <c r="G485" i="2"/>
  <c r="F485" i="2"/>
  <c r="E485" i="2"/>
  <c r="D485" i="2"/>
  <c r="C485" i="2"/>
  <c r="B485" i="2"/>
  <c r="A485" i="2"/>
  <c r="N484" i="2"/>
  <c r="M484" i="2"/>
  <c r="K484" i="2"/>
  <c r="I484" i="2"/>
  <c r="H484" i="2"/>
  <c r="G484" i="2"/>
  <c r="F484" i="2"/>
  <c r="E484" i="2"/>
  <c r="D484" i="2"/>
  <c r="C484" i="2"/>
  <c r="B484" i="2"/>
  <c r="N483" i="2"/>
  <c r="M483" i="2"/>
  <c r="K483" i="2"/>
  <c r="I483" i="2"/>
  <c r="H483" i="2"/>
  <c r="G483" i="2"/>
  <c r="F483" i="2"/>
  <c r="E483" i="2"/>
  <c r="D483" i="2"/>
  <c r="C483" i="2"/>
  <c r="B483" i="2"/>
  <c r="N482" i="2"/>
  <c r="M482" i="2"/>
  <c r="L482" i="2"/>
  <c r="K482" i="2"/>
  <c r="I482" i="2"/>
  <c r="H482" i="2"/>
  <c r="G482" i="2"/>
  <c r="F482" i="2"/>
  <c r="E482" i="2"/>
  <c r="D482" i="2"/>
  <c r="C482" i="2"/>
  <c r="B482" i="2"/>
  <c r="A482" i="2"/>
  <c r="N481" i="2"/>
  <c r="M481" i="2"/>
  <c r="L481" i="2"/>
  <c r="I481" i="2"/>
  <c r="H481" i="2"/>
  <c r="G481" i="2"/>
  <c r="F481" i="2"/>
  <c r="E481" i="2"/>
  <c r="D481" i="2"/>
  <c r="C481" i="2"/>
  <c r="B481" i="2"/>
  <c r="N480" i="2"/>
  <c r="M480" i="2"/>
  <c r="L480" i="2"/>
  <c r="K480" i="2"/>
  <c r="I480" i="2"/>
  <c r="H480" i="2"/>
  <c r="G480" i="2"/>
  <c r="F480" i="2"/>
  <c r="E480" i="2"/>
  <c r="D480" i="2"/>
  <c r="C480" i="2"/>
  <c r="B480" i="2"/>
  <c r="A480" i="2"/>
  <c r="N479" i="2"/>
  <c r="M479" i="2"/>
  <c r="L479" i="2"/>
  <c r="K479" i="2"/>
  <c r="I479" i="2"/>
  <c r="H479" i="2"/>
  <c r="G479" i="2"/>
  <c r="F479" i="2"/>
  <c r="E479" i="2"/>
  <c r="D479" i="2"/>
  <c r="C479" i="2"/>
  <c r="B479" i="2"/>
  <c r="A479" i="2"/>
  <c r="N478" i="2"/>
  <c r="M478" i="2"/>
  <c r="L478" i="2"/>
  <c r="K478" i="2"/>
  <c r="I478" i="2"/>
  <c r="H478" i="2"/>
  <c r="G478" i="2"/>
  <c r="F478" i="2"/>
  <c r="E478" i="2"/>
  <c r="D478" i="2"/>
  <c r="C478" i="2"/>
  <c r="B478" i="2"/>
  <c r="A478" i="2"/>
  <c r="N477" i="2"/>
  <c r="M477" i="2"/>
  <c r="K477" i="2"/>
  <c r="I477" i="2"/>
  <c r="H477" i="2"/>
  <c r="G477" i="2"/>
  <c r="F477" i="2"/>
  <c r="E477" i="2"/>
  <c r="D477" i="2"/>
  <c r="C477" i="2"/>
  <c r="B477" i="2"/>
  <c r="A477" i="2"/>
  <c r="N476" i="2"/>
  <c r="M476" i="2"/>
  <c r="L476" i="2"/>
  <c r="K476" i="2"/>
  <c r="I476" i="2"/>
  <c r="H476" i="2"/>
  <c r="G476" i="2"/>
  <c r="F476" i="2"/>
  <c r="E476" i="2"/>
  <c r="D476" i="2"/>
  <c r="C476" i="2"/>
  <c r="B476" i="2"/>
  <c r="A476" i="2"/>
  <c r="N475" i="2"/>
  <c r="M475" i="2"/>
  <c r="L475" i="2"/>
  <c r="K475" i="2"/>
  <c r="I475" i="2"/>
  <c r="H475" i="2"/>
  <c r="G475" i="2"/>
  <c r="F475" i="2"/>
  <c r="E475" i="2"/>
  <c r="D475" i="2"/>
  <c r="C475" i="2"/>
  <c r="B475" i="2"/>
  <c r="A475" i="2"/>
  <c r="N474" i="2"/>
  <c r="M474" i="2"/>
  <c r="K474" i="2"/>
  <c r="I474" i="2"/>
  <c r="H474" i="2"/>
  <c r="G474" i="2"/>
  <c r="F474" i="2"/>
  <c r="E474" i="2"/>
  <c r="D474" i="2"/>
  <c r="C474" i="2"/>
  <c r="B474" i="2"/>
  <c r="A474" i="2"/>
  <c r="N473" i="2"/>
  <c r="M473" i="2"/>
  <c r="L473" i="2"/>
  <c r="K473" i="2"/>
  <c r="I473" i="2"/>
  <c r="H473" i="2"/>
  <c r="G473" i="2"/>
  <c r="F473" i="2"/>
  <c r="E473" i="2"/>
  <c r="D473" i="2"/>
  <c r="C473" i="2"/>
  <c r="B473" i="2"/>
  <c r="A473" i="2"/>
  <c r="N472" i="2"/>
  <c r="M472" i="2"/>
  <c r="L472" i="2"/>
  <c r="K472" i="2"/>
  <c r="I472" i="2"/>
  <c r="H472" i="2"/>
  <c r="G472" i="2"/>
  <c r="F472" i="2"/>
  <c r="E472" i="2"/>
  <c r="D472" i="2"/>
  <c r="C472" i="2"/>
  <c r="B472" i="2"/>
  <c r="A472" i="2"/>
  <c r="N471" i="2"/>
  <c r="M471" i="2"/>
  <c r="L471" i="2"/>
  <c r="K471" i="2"/>
  <c r="I471" i="2"/>
  <c r="H471" i="2"/>
  <c r="G471" i="2"/>
  <c r="F471" i="2"/>
  <c r="E471" i="2"/>
  <c r="C471" i="2"/>
  <c r="B471" i="2"/>
  <c r="A471" i="2"/>
  <c r="N470" i="2"/>
  <c r="M470" i="2"/>
  <c r="L470" i="2"/>
  <c r="K470" i="2"/>
  <c r="I470" i="2"/>
  <c r="H470" i="2"/>
  <c r="G470" i="2"/>
  <c r="F470" i="2"/>
  <c r="E470" i="2"/>
  <c r="D470" i="2"/>
  <c r="C470" i="2"/>
  <c r="B470" i="2"/>
  <c r="A470" i="2"/>
  <c r="N469" i="2"/>
  <c r="M469" i="2"/>
  <c r="L469" i="2"/>
  <c r="K469" i="2"/>
  <c r="I469" i="2"/>
  <c r="H469" i="2"/>
  <c r="G469" i="2"/>
  <c r="F469" i="2"/>
  <c r="E469" i="2"/>
  <c r="D469" i="2"/>
  <c r="C469" i="2"/>
  <c r="B469" i="2"/>
  <c r="A469" i="2"/>
  <c r="N468" i="2"/>
  <c r="M468" i="2"/>
  <c r="L468" i="2"/>
  <c r="K468" i="2"/>
  <c r="I468" i="2"/>
  <c r="H468" i="2"/>
  <c r="G468" i="2"/>
  <c r="F468" i="2"/>
  <c r="E468" i="2"/>
  <c r="D468" i="2"/>
  <c r="C468" i="2"/>
  <c r="B468" i="2"/>
  <c r="A468" i="2"/>
  <c r="N467" i="2"/>
  <c r="M467" i="2"/>
  <c r="K467" i="2"/>
  <c r="I467" i="2"/>
  <c r="H467" i="2"/>
  <c r="G467" i="2"/>
  <c r="F467" i="2"/>
  <c r="E467" i="2"/>
  <c r="D467" i="2"/>
  <c r="C467" i="2"/>
  <c r="B467" i="2"/>
  <c r="A467" i="2"/>
  <c r="N466" i="2"/>
  <c r="M466" i="2"/>
  <c r="L466" i="2"/>
  <c r="I466" i="2"/>
  <c r="H466" i="2"/>
  <c r="G466" i="2"/>
  <c r="F466" i="2"/>
  <c r="E466" i="2"/>
  <c r="D466" i="2"/>
  <c r="C466" i="2"/>
  <c r="B466" i="2"/>
  <c r="N465" i="2"/>
  <c r="K465" i="2"/>
  <c r="I465" i="2"/>
  <c r="H465" i="2"/>
  <c r="G465" i="2"/>
  <c r="F465" i="2"/>
  <c r="E465" i="2"/>
  <c r="D465" i="2"/>
  <c r="C465" i="2"/>
  <c r="B465" i="2"/>
  <c r="N464" i="2"/>
  <c r="M464" i="2"/>
  <c r="L464" i="2"/>
  <c r="K464" i="2"/>
  <c r="I464" i="2"/>
  <c r="H464" i="2"/>
  <c r="G464" i="2"/>
  <c r="F464" i="2"/>
  <c r="E464" i="2"/>
  <c r="D464" i="2"/>
  <c r="C464" i="2"/>
  <c r="B464" i="2"/>
  <c r="A464" i="2"/>
  <c r="N463" i="2"/>
  <c r="M463" i="2"/>
  <c r="L463" i="2"/>
  <c r="K463" i="2"/>
  <c r="I463" i="2"/>
  <c r="H463" i="2"/>
  <c r="G463" i="2"/>
  <c r="F463" i="2"/>
  <c r="E463" i="2"/>
  <c r="D463" i="2"/>
  <c r="C463" i="2"/>
  <c r="B463" i="2"/>
  <c r="A463" i="2"/>
  <c r="N462" i="2"/>
  <c r="M462" i="2"/>
  <c r="L462" i="2"/>
  <c r="K462" i="2"/>
  <c r="I462" i="2"/>
  <c r="H462" i="2"/>
  <c r="G462" i="2"/>
  <c r="F462" i="2"/>
  <c r="E462" i="2"/>
  <c r="D462" i="2"/>
  <c r="C462" i="2"/>
  <c r="B462" i="2"/>
  <c r="A462" i="2"/>
  <c r="N461" i="2"/>
  <c r="M461" i="2"/>
  <c r="K461" i="2"/>
  <c r="I461" i="2"/>
  <c r="H461" i="2"/>
  <c r="G461" i="2"/>
  <c r="F461" i="2"/>
  <c r="E461" i="2"/>
  <c r="D461" i="2"/>
  <c r="C461" i="2"/>
  <c r="B461" i="2"/>
  <c r="A461" i="2"/>
  <c r="N460" i="2"/>
  <c r="M460" i="2"/>
  <c r="L460" i="2"/>
  <c r="K460" i="2"/>
  <c r="I460" i="2"/>
  <c r="H460" i="2"/>
  <c r="G460" i="2"/>
  <c r="F460" i="2"/>
  <c r="E460" i="2"/>
  <c r="D460" i="2"/>
  <c r="C460" i="2"/>
  <c r="B460" i="2"/>
  <c r="A460" i="2"/>
  <c r="N459" i="2"/>
  <c r="M459" i="2"/>
  <c r="L459" i="2"/>
  <c r="K459" i="2"/>
  <c r="I459" i="2"/>
  <c r="H459" i="2"/>
  <c r="G459" i="2"/>
  <c r="F459" i="2"/>
  <c r="E459" i="2"/>
  <c r="D459" i="2"/>
  <c r="C459" i="2"/>
  <c r="B459" i="2"/>
  <c r="A459" i="2"/>
  <c r="N458" i="2"/>
  <c r="M458" i="2"/>
  <c r="L458" i="2"/>
  <c r="K458" i="2"/>
  <c r="I458" i="2"/>
  <c r="H458" i="2"/>
  <c r="G458" i="2"/>
  <c r="F458" i="2"/>
  <c r="E458" i="2"/>
  <c r="D458" i="2"/>
  <c r="C458" i="2"/>
  <c r="B458" i="2"/>
  <c r="A458" i="2"/>
  <c r="N457" i="2"/>
  <c r="M457" i="2"/>
  <c r="L457" i="2"/>
  <c r="K457" i="2"/>
  <c r="I457" i="2"/>
  <c r="H457" i="2"/>
  <c r="G457" i="2"/>
  <c r="F457" i="2"/>
  <c r="E457" i="2"/>
  <c r="D457" i="2"/>
  <c r="C457" i="2"/>
  <c r="B457" i="2"/>
  <c r="A457" i="2"/>
  <c r="N456" i="2"/>
  <c r="M456" i="2"/>
  <c r="L456" i="2"/>
  <c r="K456" i="2"/>
  <c r="I456" i="2"/>
  <c r="H456" i="2"/>
  <c r="G456" i="2"/>
  <c r="F456" i="2"/>
  <c r="E456" i="2"/>
  <c r="D456" i="2"/>
  <c r="C456" i="2"/>
  <c r="B456" i="2"/>
  <c r="A456" i="2"/>
  <c r="N455" i="2"/>
  <c r="M455" i="2"/>
  <c r="L455" i="2"/>
  <c r="K455" i="2"/>
  <c r="I455" i="2"/>
  <c r="H455" i="2"/>
  <c r="G455" i="2"/>
  <c r="F455" i="2"/>
  <c r="E455" i="2"/>
  <c r="D455" i="2"/>
  <c r="C455" i="2"/>
  <c r="B455" i="2"/>
  <c r="A455" i="2"/>
  <c r="N454" i="2"/>
  <c r="M454" i="2"/>
  <c r="L454" i="2"/>
  <c r="K454" i="2"/>
  <c r="I454" i="2"/>
  <c r="H454" i="2"/>
  <c r="G454" i="2"/>
  <c r="F454" i="2"/>
  <c r="E454" i="2"/>
  <c r="D454" i="2"/>
  <c r="C454" i="2"/>
  <c r="B454" i="2"/>
  <c r="A454" i="2"/>
  <c r="N453" i="2"/>
  <c r="M453" i="2"/>
  <c r="L453" i="2"/>
  <c r="K453" i="2"/>
  <c r="I453" i="2"/>
  <c r="H453" i="2"/>
  <c r="G453" i="2"/>
  <c r="F453" i="2"/>
  <c r="E453" i="2"/>
  <c r="D453" i="2"/>
  <c r="C453" i="2"/>
  <c r="B453" i="2"/>
  <c r="A453" i="2"/>
  <c r="N452" i="2"/>
  <c r="M452" i="2"/>
  <c r="L452" i="2"/>
  <c r="K452" i="2"/>
  <c r="I452" i="2"/>
  <c r="H452" i="2"/>
  <c r="G452" i="2"/>
  <c r="F452" i="2"/>
  <c r="E452" i="2"/>
  <c r="D452" i="2"/>
  <c r="C452" i="2"/>
  <c r="B452" i="2"/>
  <c r="A452" i="2"/>
  <c r="N451" i="2"/>
  <c r="M451" i="2"/>
  <c r="L451" i="2"/>
  <c r="K451" i="2"/>
  <c r="I451" i="2"/>
  <c r="H451" i="2"/>
  <c r="G451" i="2"/>
  <c r="F451" i="2"/>
  <c r="E451" i="2"/>
  <c r="D451" i="2"/>
  <c r="C451" i="2"/>
  <c r="B451" i="2"/>
  <c r="A451" i="2"/>
  <c r="N450" i="2"/>
  <c r="M450" i="2"/>
  <c r="L450" i="2"/>
  <c r="K450" i="2"/>
  <c r="I450" i="2"/>
  <c r="H450" i="2"/>
  <c r="G450" i="2"/>
  <c r="F450" i="2"/>
  <c r="E450" i="2"/>
  <c r="D450" i="2"/>
  <c r="C450" i="2"/>
  <c r="B450" i="2"/>
  <c r="A450" i="2"/>
  <c r="N449" i="2"/>
  <c r="M449" i="2"/>
  <c r="L449" i="2"/>
  <c r="I449" i="2"/>
  <c r="H449" i="2"/>
  <c r="G449" i="2"/>
  <c r="F449" i="2"/>
  <c r="E449" i="2"/>
  <c r="D449" i="2"/>
  <c r="C449" i="2"/>
  <c r="B449" i="2"/>
  <c r="N448" i="2"/>
  <c r="M448" i="2"/>
  <c r="L448" i="2"/>
  <c r="K448" i="2"/>
  <c r="I448" i="2"/>
  <c r="H448" i="2"/>
  <c r="G448" i="2"/>
  <c r="F448" i="2"/>
  <c r="E448" i="2"/>
  <c r="D448" i="2"/>
  <c r="C448" i="2"/>
  <c r="B448" i="2"/>
  <c r="A448" i="2"/>
  <c r="N447" i="2"/>
  <c r="M447" i="2"/>
  <c r="L447" i="2"/>
  <c r="K447" i="2"/>
  <c r="I447" i="2"/>
  <c r="H447" i="2"/>
  <c r="G447" i="2"/>
  <c r="F447" i="2"/>
  <c r="E447" i="2"/>
  <c r="D447" i="2"/>
  <c r="C447" i="2"/>
  <c r="B447" i="2"/>
  <c r="A447" i="2"/>
  <c r="N446" i="2"/>
  <c r="M446" i="2"/>
  <c r="L446" i="2"/>
  <c r="K446" i="2"/>
  <c r="I446" i="2"/>
  <c r="H446" i="2"/>
  <c r="G446" i="2"/>
  <c r="F446" i="2"/>
  <c r="E446" i="2"/>
  <c r="D446" i="2"/>
  <c r="C446" i="2"/>
  <c r="B446" i="2"/>
  <c r="A446" i="2"/>
  <c r="N445" i="2"/>
  <c r="M445" i="2"/>
  <c r="K445" i="2"/>
  <c r="I445" i="2"/>
  <c r="H445" i="2"/>
  <c r="G445" i="2"/>
  <c r="F445" i="2"/>
  <c r="E445" i="2"/>
  <c r="D445" i="2"/>
  <c r="C445" i="2"/>
  <c r="B445" i="2"/>
  <c r="A445" i="2"/>
  <c r="N444" i="2"/>
  <c r="M444" i="2"/>
  <c r="L444" i="2"/>
  <c r="K444" i="2"/>
  <c r="I444" i="2"/>
  <c r="H444" i="2"/>
  <c r="G444" i="2"/>
  <c r="F444" i="2"/>
  <c r="E444" i="2"/>
  <c r="D444" i="2"/>
  <c r="C444" i="2"/>
  <c r="B444" i="2"/>
  <c r="A444" i="2"/>
  <c r="N443" i="2"/>
  <c r="M443" i="2"/>
  <c r="L443" i="2"/>
  <c r="K443" i="2"/>
  <c r="I443" i="2"/>
  <c r="H443" i="2"/>
  <c r="G443" i="2"/>
  <c r="F443" i="2"/>
  <c r="E443" i="2"/>
  <c r="D443" i="2"/>
  <c r="C443" i="2"/>
  <c r="B443" i="2"/>
  <c r="A443" i="2"/>
  <c r="N442" i="2"/>
  <c r="M442" i="2"/>
  <c r="L442" i="2"/>
  <c r="K442" i="2"/>
  <c r="I442" i="2"/>
  <c r="H442" i="2"/>
  <c r="G442" i="2"/>
  <c r="F442" i="2"/>
  <c r="E442" i="2"/>
  <c r="D442" i="2"/>
  <c r="C442" i="2"/>
  <c r="B442" i="2"/>
  <c r="A442" i="2"/>
  <c r="N441" i="2"/>
  <c r="M441" i="2"/>
  <c r="L441" i="2"/>
  <c r="K441" i="2"/>
  <c r="I441" i="2"/>
  <c r="H441" i="2"/>
  <c r="G441" i="2"/>
  <c r="F441" i="2"/>
  <c r="E441" i="2"/>
  <c r="D441" i="2"/>
  <c r="C441" i="2"/>
  <c r="B441" i="2"/>
  <c r="A441" i="2"/>
  <c r="N440" i="2"/>
  <c r="M440" i="2"/>
  <c r="L440" i="2"/>
  <c r="K440" i="2"/>
  <c r="I440" i="2"/>
  <c r="H440" i="2"/>
  <c r="G440" i="2"/>
  <c r="F440" i="2"/>
  <c r="E440" i="2"/>
  <c r="D440" i="2"/>
  <c r="C440" i="2"/>
  <c r="B440" i="2"/>
  <c r="A440" i="2"/>
  <c r="N439" i="2"/>
  <c r="M439" i="2"/>
  <c r="L439" i="2"/>
  <c r="K439" i="2"/>
  <c r="I439" i="2"/>
  <c r="H439" i="2"/>
  <c r="G439" i="2"/>
  <c r="F439" i="2"/>
  <c r="E439" i="2"/>
  <c r="D439" i="2"/>
  <c r="C439" i="2"/>
  <c r="B439" i="2"/>
  <c r="A439" i="2"/>
  <c r="N438" i="2"/>
  <c r="M438" i="2"/>
  <c r="L438" i="2"/>
  <c r="K438" i="2"/>
  <c r="I438" i="2"/>
  <c r="H438" i="2"/>
  <c r="G438" i="2"/>
  <c r="F438" i="2"/>
  <c r="E438" i="2"/>
  <c r="D438" i="2"/>
  <c r="C438" i="2"/>
  <c r="B438" i="2"/>
  <c r="A438" i="2"/>
  <c r="N437" i="2"/>
  <c r="M437" i="2"/>
  <c r="L437" i="2"/>
  <c r="K437" i="2"/>
  <c r="I437" i="2"/>
  <c r="H437" i="2"/>
  <c r="G437" i="2"/>
  <c r="F437" i="2"/>
  <c r="E437" i="2"/>
  <c r="D437" i="2"/>
  <c r="C437" i="2"/>
  <c r="B437" i="2"/>
  <c r="A437" i="2"/>
  <c r="N436" i="2"/>
  <c r="M436" i="2"/>
  <c r="L436" i="2"/>
  <c r="K436" i="2"/>
  <c r="I436" i="2"/>
  <c r="H436" i="2"/>
  <c r="G436" i="2"/>
  <c r="F436" i="2"/>
  <c r="E436" i="2"/>
  <c r="D436" i="2"/>
  <c r="C436" i="2"/>
  <c r="B436" i="2"/>
  <c r="A436" i="2"/>
  <c r="N435" i="2"/>
  <c r="M435" i="2"/>
  <c r="L435" i="2"/>
  <c r="K435" i="2"/>
  <c r="I435" i="2"/>
  <c r="H435" i="2"/>
  <c r="G435" i="2"/>
  <c r="F435" i="2"/>
  <c r="E435" i="2"/>
  <c r="D435" i="2"/>
  <c r="C435" i="2"/>
  <c r="B435" i="2"/>
  <c r="A435" i="2"/>
  <c r="N434" i="2"/>
  <c r="M434" i="2"/>
  <c r="L434" i="2"/>
  <c r="K434" i="2"/>
  <c r="I434" i="2"/>
  <c r="H434" i="2"/>
  <c r="G434" i="2"/>
  <c r="F434" i="2"/>
  <c r="E434" i="2"/>
  <c r="D434" i="2"/>
  <c r="C434" i="2"/>
  <c r="B434" i="2"/>
  <c r="A434" i="2"/>
  <c r="N433" i="2"/>
  <c r="M433" i="2"/>
  <c r="L433" i="2"/>
  <c r="K433" i="2"/>
  <c r="I433" i="2"/>
  <c r="H433" i="2"/>
  <c r="G433" i="2"/>
  <c r="F433" i="2"/>
  <c r="E433" i="2"/>
  <c r="D433" i="2"/>
  <c r="C433" i="2"/>
  <c r="B433" i="2"/>
  <c r="A433" i="2"/>
  <c r="N432" i="2"/>
  <c r="M432" i="2"/>
  <c r="L432" i="2"/>
  <c r="K432" i="2"/>
  <c r="I432" i="2"/>
  <c r="H432" i="2"/>
  <c r="G432" i="2"/>
  <c r="F432" i="2"/>
  <c r="E432" i="2"/>
  <c r="C432" i="2"/>
  <c r="B432" i="2"/>
  <c r="A432" i="2"/>
  <c r="N431" i="2"/>
  <c r="M431" i="2"/>
  <c r="L431" i="2"/>
  <c r="K431" i="2"/>
  <c r="I431" i="2"/>
  <c r="H431" i="2"/>
  <c r="G431" i="2"/>
  <c r="F431" i="2"/>
  <c r="E431" i="2"/>
  <c r="C431" i="2"/>
  <c r="B431" i="2"/>
  <c r="A431" i="2"/>
  <c r="N430" i="2"/>
  <c r="M430" i="2"/>
  <c r="L430" i="2"/>
  <c r="K430" i="2"/>
  <c r="I430" i="2"/>
  <c r="H430" i="2"/>
  <c r="G430" i="2"/>
  <c r="F430" i="2"/>
  <c r="E430" i="2"/>
  <c r="D430" i="2"/>
  <c r="C430" i="2"/>
  <c r="B430" i="2"/>
  <c r="A430" i="2"/>
  <c r="N429" i="2"/>
  <c r="M429" i="2"/>
  <c r="L429" i="2"/>
  <c r="K429" i="2"/>
  <c r="I429" i="2"/>
  <c r="H429" i="2"/>
  <c r="G429" i="2"/>
  <c r="F429" i="2"/>
  <c r="E429" i="2"/>
  <c r="D429" i="2"/>
  <c r="C429" i="2"/>
  <c r="B429" i="2"/>
  <c r="A429" i="2"/>
  <c r="N428" i="2"/>
  <c r="M428" i="2"/>
  <c r="L428" i="2"/>
  <c r="K428" i="2"/>
  <c r="I428" i="2"/>
  <c r="H428" i="2"/>
  <c r="G428" i="2"/>
  <c r="F428" i="2"/>
  <c r="E428" i="2"/>
  <c r="D428" i="2"/>
  <c r="C428" i="2"/>
  <c r="B428" i="2"/>
  <c r="A428" i="2"/>
  <c r="N427" i="2"/>
  <c r="M427" i="2"/>
  <c r="L427" i="2"/>
  <c r="K427" i="2"/>
  <c r="I427" i="2"/>
  <c r="H427" i="2"/>
  <c r="G427" i="2"/>
  <c r="F427" i="2"/>
  <c r="E427" i="2"/>
  <c r="D427" i="2"/>
  <c r="C427" i="2"/>
  <c r="B427" i="2"/>
  <c r="A427" i="2"/>
  <c r="N426" i="2"/>
  <c r="L426" i="2"/>
  <c r="K426" i="2"/>
  <c r="H426" i="2"/>
  <c r="G426" i="2"/>
  <c r="F426" i="2"/>
  <c r="E426" i="2"/>
  <c r="D426" i="2"/>
  <c r="C426" i="2"/>
  <c r="B426" i="2"/>
  <c r="A426" i="2"/>
  <c r="N425" i="2"/>
  <c r="M425" i="2"/>
  <c r="L425" i="2"/>
  <c r="K425" i="2"/>
  <c r="I425" i="2"/>
  <c r="H425" i="2"/>
  <c r="G425" i="2"/>
  <c r="F425" i="2"/>
  <c r="E425" i="2"/>
  <c r="D425" i="2"/>
  <c r="C425" i="2"/>
  <c r="B425" i="2"/>
  <c r="A425" i="2"/>
  <c r="N424" i="2"/>
  <c r="M424" i="2"/>
  <c r="L424" i="2"/>
  <c r="K424" i="2"/>
  <c r="I424" i="2"/>
  <c r="H424" i="2"/>
  <c r="G424" i="2"/>
  <c r="F424" i="2"/>
  <c r="E424" i="2"/>
  <c r="D424" i="2"/>
  <c r="C424" i="2"/>
  <c r="B424" i="2"/>
  <c r="A424" i="2"/>
  <c r="N423" i="2"/>
  <c r="M423" i="2"/>
  <c r="L423" i="2"/>
  <c r="K423" i="2"/>
  <c r="I423" i="2"/>
  <c r="H423" i="2"/>
  <c r="G423" i="2"/>
  <c r="F423" i="2"/>
  <c r="E423" i="2"/>
  <c r="C423" i="2"/>
  <c r="B423" i="2"/>
  <c r="A423" i="2"/>
  <c r="N422" i="2"/>
  <c r="M422" i="2"/>
  <c r="L422" i="2"/>
  <c r="K422" i="2"/>
  <c r="I422" i="2"/>
  <c r="H422" i="2"/>
  <c r="G422" i="2"/>
  <c r="F422" i="2"/>
  <c r="E422" i="2"/>
  <c r="D422" i="2"/>
  <c r="C422" i="2"/>
  <c r="B422" i="2"/>
  <c r="A422" i="2"/>
  <c r="N421" i="2"/>
  <c r="M421" i="2"/>
  <c r="L421" i="2"/>
  <c r="K421" i="2"/>
  <c r="I421" i="2"/>
  <c r="H421" i="2"/>
  <c r="G421" i="2"/>
  <c r="F421" i="2"/>
  <c r="E421" i="2"/>
  <c r="D421" i="2"/>
  <c r="C421" i="2"/>
  <c r="B421" i="2"/>
  <c r="A421" i="2"/>
  <c r="N420" i="2"/>
  <c r="M420" i="2"/>
  <c r="L420" i="2"/>
  <c r="K420" i="2"/>
  <c r="I420" i="2"/>
  <c r="H420" i="2"/>
  <c r="G420" i="2"/>
  <c r="F420" i="2"/>
  <c r="E420" i="2"/>
  <c r="D420" i="2"/>
  <c r="C420" i="2"/>
  <c r="B420" i="2"/>
  <c r="A420" i="2"/>
  <c r="N419" i="2"/>
  <c r="M419" i="2"/>
  <c r="L419" i="2"/>
  <c r="K419" i="2"/>
  <c r="I419" i="2"/>
  <c r="H419" i="2"/>
  <c r="G419" i="2"/>
  <c r="F419" i="2"/>
  <c r="E419" i="2"/>
  <c r="D419" i="2"/>
  <c r="C419" i="2"/>
  <c r="B419" i="2"/>
  <c r="A419" i="2"/>
  <c r="N418" i="2"/>
  <c r="M418" i="2"/>
  <c r="L418" i="2"/>
  <c r="K418" i="2"/>
  <c r="I418" i="2"/>
  <c r="H418" i="2"/>
  <c r="G418" i="2"/>
  <c r="F418" i="2"/>
  <c r="E418" i="2"/>
  <c r="D418" i="2"/>
  <c r="C418" i="2"/>
  <c r="B418" i="2"/>
  <c r="A418" i="2"/>
  <c r="N417" i="2"/>
  <c r="M417" i="2"/>
  <c r="L417" i="2"/>
  <c r="K417" i="2"/>
  <c r="I417" i="2"/>
  <c r="H417" i="2"/>
  <c r="G417" i="2"/>
  <c r="F417" i="2"/>
  <c r="E417" i="2"/>
  <c r="D417" i="2"/>
  <c r="C417" i="2"/>
  <c r="B417" i="2"/>
  <c r="A417" i="2"/>
  <c r="N416" i="2"/>
  <c r="M416" i="2"/>
  <c r="L416" i="2"/>
  <c r="K416" i="2"/>
  <c r="I416" i="2"/>
  <c r="H416" i="2"/>
  <c r="G416" i="2"/>
  <c r="F416" i="2"/>
  <c r="E416" i="2"/>
  <c r="C416" i="2"/>
  <c r="B416" i="2"/>
  <c r="A416" i="2"/>
  <c r="N415" i="2"/>
  <c r="M415" i="2"/>
  <c r="L415" i="2"/>
  <c r="K415" i="2"/>
  <c r="I415" i="2"/>
  <c r="H415" i="2"/>
  <c r="G415" i="2"/>
  <c r="F415" i="2"/>
  <c r="E415" i="2"/>
  <c r="D415" i="2"/>
  <c r="C415" i="2"/>
  <c r="B415" i="2"/>
  <c r="A415" i="2"/>
  <c r="N414" i="2"/>
  <c r="M414" i="2"/>
  <c r="L414" i="2"/>
  <c r="K414" i="2"/>
  <c r="I414" i="2"/>
  <c r="H414" i="2"/>
  <c r="G414" i="2"/>
  <c r="F414" i="2"/>
  <c r="E414" i="2"/>
  <c r="C414" i="2"/>
  <c r="B414" i="2"/>
  <c r="A414" i="2"/>
  <c r="N413" i="2"/>
  <c r="M413" i="2"/>
  <c r="L413" i="2"/>
  <c r="K413" i="2"/>
  <c r="I413" i="2"/>
  <c r="H413" i="2"/>
  <c r="G413" i="2"/>
  <c r="F413" i="2"/>
  <c r="E413" i="2"/>
  <c r="D413" i="2"/>
  <c r="C413" i="2"/>
  <c r="B413" i="2"/>
  <c r="A413" i="2"/>
  <c r="N412" i="2"/>
  <c r="M412" i="2"/>
  <c r="L412" i="2"/>
  <c r="K412" i="2"/>
  <c r="I412" i="2"/>
  <c r="H412" i="2"/>
  <c r="G412" i="2"/>
  <c r="F412" i="2"/>
  <c r="E412" i="2"/>
  <c r="D412" i="2"/>
  <c r="C412" i="2"/>
  <c r="B412" i="2"/>
  <c r="A412" i="2"/>
  <c r="N411" i="2"/>
  <c r="M411" i="2"/>
  <c r="L411" i="2"/>
  <c r="K411" i="2"/>
  <c r="I411" i="2"/>
  <c r="H411" i="2"/>
  <c r="G411" i="2"/>
  <c r="F411" i="2"/>
  <c r="E411" i="2"/>
  <c r="D411" i="2"/>
  <c r="C411" i="2"/>
  <c r="B411" i="2"/>
  <c r="A411" i="2"/>
  <c r="N410" i="2"/>
  <c r="M410" i="2"/>
  <c r="L410" i="2"/>
  <c r="K410" i="2"/>
  <c r="I410" i="2"/>
  <c r="H410" i="2"/>
  <c r="G410" i="2"/>
  <c r="F410" i="2"/>
  <c r="E410" i="2"/>
  <c r="D410" i="2"/>
  <c r="C410" i="2"/>
  <c r="B410" i="2"/>
  <c r="A410" i="2"/>
  <c r="N409" i="2"/>
  <c r="M409" i="2"/>
  <c r="L409" i="2"/>
  <c r="K409" i="2"/>
  <c r="I409" i="2"/>
  <c r="H409" i="2"/>
  <c r="G409" i="2"/>
  <c r="F409" i="2"/>
  <c r="E409" i="2"/>
  <c r="D409" i="2"/>
  <c r="C409" i="2"/>
  <c r="B409" i="2"/>
  <c r="A409" i="2"/>
  <c r="N408" i="2"/>
  <c r="M408" i="2"/>
  <c r="L408" i="2"/>
  <c r="K408" i="2"/>
  <c r="I408" i="2"/>
  <c r="H408" i="2"/>
  <c r="G408" i="2"/>
  <c r="F408" i="2"/>
  <c r="E408" i="2"/>
  <c r="D408" i="2"/>
  <c r="C408" i="2"/>
  <c r="B408" i="2"/>
  <c r="A408" i="2"/>
  <c r="N407" i="2"/>
  <c r="M407" i="2"/>
  <c r="L407" i="2"/>
  <c r="I407" i="2"/>
  <c r="H407" i="2"/>
  <c r="G407" i="2"/>
  <c r="F407" i="2"/>
  <c r="E407" i="2"/>
  <c r="C407" i="2"/>
  <c r="B407" i="2"/>
  <c r="N406" i="2"/>
  <c r="M406" i="2"/>
  <c r="L406" i="2"/>
  <c r="K406" i="2"/>
  <c r="I406" i="2"/>
  <c r="H406" i="2"/>
  <c r="G406" i="2"/>
  <c r="F406" i="2"/>
  <c r="E406" i="2"/>
  <c r="D406" i="2"/>
  <c r="C406" i="2"/>
  <c r="B406" i="2"/>
  <c r="A406" i="2"/>
  <c r="N405" i="2"/>
  <c r="M405" i="2"/>
  <c r="L405" i="2"/>
  <c r="K405" i="2"/>
  <c r="I405" i="2"/>
  <c r="H405" i="2"/>
  <c r="G405" i="2"/>
  <c r="F405" i="2"/>
  <c r="E405" i="2"/>
  <c r="D405" i="2"/>
  <c r="C405" i="2"/>
  <c r="B405" i="2"/>
  <c r="A405" i="2"/>
  <c r="N404" i="2"/>
  <c r="M404" i="2"/>
  <c r="L404" i="2"/>
  <c r="K404" i="2"/>
  <c r="I404" i="2"/>
  <c r="H404" i="2"/>
  <c r="G404" i="2"/>
  <c r="F404" i="2"/>
  <c r="E404" i="2"/>
  <c r="D404" i="2"/>
  <c r="C404" i="2"/>
  <c r="B404" i="2"/>
  <c r="A404" i="2"/>
  <c r="N403" i="2"/>
  <c r="M403" i="2"/>
  <c r="L403" i="2"/>
  <c r="K403" i="2"/>
  <c r="I403" i="2"/>
  <c r="H403" i="2"/>
  <c r="G403" i="2"/>
  <c r="F403" i="2"/>
  <c r="E403" i="2"/>
  <c r="C403" i="2"/>
  <c r="B403" i="2"/>
  <c r="A403" i="2"/>
  <c r="N402" i="2"/>
  <c r="M402" i="2"/>
  <c r="L402" i="2"/>
  <c r="I402" i="2"/>
  <c r="H402" i="2"/>
  <c r="G402" i="2"/>
  <c r="F402" i="2"/>
  <c r="E402" i="2"/>
  <c r="D402" i="2"/>
  <c r="C402" i="2"/>
  <c r="B402" i="2"/>
  <c r="N401" i="2"/>
  <c r="M401" i="2"/>
  <c r="L401" i="2"/>
  <c r="K401" i="2"/>
  <c r="I401" i="2"/>
  <c r="H401" i="2"/>
  <c r="G401" i="2"/>
  <c r="F401" i="2"/>
  <c r="E401" i="2"/>
  <c r="D401" i="2"/>
  <c r="C401" i="2"/>
  <c r="B401" i="2"/>
  <c r="A401" i="2"/>
  <c r="N400" i="2"/>
  <c r="M400" i="2"/>
  <c r="L400" i="2"/>
  <c r="I400" i="2"/>
  <c r="H400" i="2"/>
  <c r="G400" i="2"/>
  <c r="F400" i="2"/>
  <c r="E400" i="2"/>
  <c r="D400" i="2"/>
  <c r="C400" i="2"/>
  <c r="B400" i="2"/>
  <c r="N399" i="2"/>
  <c r="M399" i="2"/>
  <c r="L399" i="2"/>
  <c r="K399" i="2"/>
  <c r="I399" i="2"/>
  <c r="H399" i="2"/>
  <c r="G399" i="2"/>
  <c r="F399" i="2"/>
  <c r="E399" i="2"/>
  <c r="D399" i="2"/>
  <c r="C399" i="2"/>
  <c r="B399" i="2"/>
  <c r="A399" i="2"/>
  <c r="N398" i="2"/>
  <c r="M398" i="2"/>
  <c r="L398" i="2"/>
  <c r="K398" i="2"/>
  <c r="I398" i="2"/>
  <c r="H398" i="2"/>
  <c r="G398" i="2"/>
  <c r="F398" i="2"/>
  <c r="E398" i="2"/>
  <c r="D398" i="2"/>
  <c r="C398" i="2"/>
  <c r="B398" i="2"/>
  <c r="A398" i="2"/>
  <c r="N397" i="2"/>
  <c r="M397" i="2"/>
  <c r="L397" i="2"/>
  <c r="K397" i="2"/>
  <c r="I397" i="2"/>
  <c r="H397" i="2"/>
  <c r="G397" i="2"/>
  <c r="F397" i="2"/>
  <c r="E397" i="2"/>
  <c r="D397" i="2"/>
  <c r="C397" i="2"/>
  <c r="B397" i="2"/>
  <c r="A397" i="2"/>
  <c r="N396" i="2"/>
  <c r="M396" i="2"/>
  <c r="L396" i="2"/>
  <c r="K396" i="2"/>
  <c r="I396" i="2"/>
  <c r="H396" i="2"/>
  <c r="G396" i="2"/>
  <c r="F396" i="2"/>
  <c r="E396" i="2"/>
  <c r="D396" i="2"/>
  <c r="C396" i="2"/>
  <c r="B396" i="2"/>
  <c r="A396" i="2"/>
  <c r="N395" i="2"/>
  <c r="M395" i="2"/>
  <c r="L395" i="2"/>
  <c r="K395" i="2"/>
  <c r="I395" i="2"/>
  <c r="H395" i="2"/>
  <c r="G395" i="2"/>
  <c r="F395" i="2"/>
  <c r="E395" i="2"/>
  <c r="D395" i="2"/>
  <c r="C395" i="2"/>
  <c r="B395" i="2"/>
  <c r="A395" i="2"/>
  <c r="N394" i="2"/>
  <c r="M394" i="2"/>
  <c r="L394" i="2"/>
  <c r="K394" i="2"/>
  <c r="I394" i="2"/>
  <c r="H394" i="2"/>
  <c r="G394" i="2"/>
  <c r="F394" i="2"/>
  <c r="E394" i="2"/>
  <c r="D394" i="2"/>
  <c r="C394" i="2"/>
  <c r="B394" i="2"/>
  <c r="A394" i="2"/>
  <c r="N393" i="2"/>
  <c r="M393" i="2"/>
  <c r="L393" i="2"/>
  <c r="K393" i="2"/>
  <c r="I393" i="2"/>
  <c r="H393" i="2"/>
  <c r="G393" i="2"/>
  <c r="F393" i="2"/>
  <c r="E393" i="2"/>
  <c r="D393" i="2"/>
  <c r="C393" i="2"/>
  <c r="B393" i="2"/>
  <c r="A393" i="2"/>
  <c r="N392" i="2"/>
  <c r="M392" i="2"/>
  <c r="L392" i="2"/>
  <c r="K392" i="2"/>
  <c r="I392" i="2"/>
  <c r="H392" i="2"/>
  <c r="G392" i="2"/>
  <c r="F392" i="2"/>
  <c r="E392" i="2"/>
  <c r="D392" i="2"/>
  <c r="C392" i="2"/>
  <c r="B392" i="2"/>
  <c r="A392" i="2"/>
  <c r="N391" i="2"/>
  <c r="M391" i="2"/>
  <c r="L391" i="2"/>
  <c r="K391" i="2"/>
  <c r="I391" i="2"/>
  <c r="H391" i="2"/>
  <c r="G391" i="2"/>
  <c r="F391" i="2"/>
  <c r="E391" i="2"/>
  <c r="D391" i="2"/>
  <c r="C391" i="2"/>
  <c r="B391" i="2"/>
  <c r="A391" i="2"/>
  <c r="N390" i="2"/>
  <c r="M390" i="2"/>
  <c r="L390" i="2"/>
  <c r="K390" i="2"/>
  <c r="I390" i="2"/>
  <c r="H390" i="2"/>
  <c r="G390" i="2"/>
  <c r="F390" i="2"/>
  <c r="E390" i="2"/>
  <c r="C390" i="2"/>
  <c r="B390" i="2"/>
  <c r="A390" i="2"/>
  <c r="N389" i="2"/>
  <c r="M389" i="2"/>
  <c r="L389" i="2"/>
  <c r="K389" i="2"/>
  <c r="I389" i="2"/>
  <c r="H389" i="2"/>
  <c r="G389" i="2"/>
  <c r="F389" i="2"/>
  <c r="E389" i="2"/>
  <c r="D389" i="2"/>
  <c r="C389" i="2"/>
  <c r="B389" i="2"/>
  <c r="A389" i="2"/>
  <c r="N388" i="2"/>
  <c r="L388" i="2"/>
  <c r="K388" i="2"/>
  <c r="I388" i="2"/>
  <c r="H388" i="2"/>
  <c r="G388" i="2"/>
  <c r="F388" i="2"/>
  <c r="E388" i="2"/>
  <c r="D388" i="2"/>
  <c r="C388" i="2"/>
  <c r="B388" i="2"/>
  <c r="A388" i="2"/>
  <c r="N387" i="2"/>
  <c r="M387" i="2"/>
  <c r="L387" i="2"/>
  <c r="K387" i="2"/>
  <c r="I387" i="2"/>
  <c r="H387" i="2"/>
  <c r="G387" i="2"/>
  <c r="F387" i="2"/>
  <c r="E387" i="2"/>
  <c r="D387" i="2"/>
  <c r="C387" i="2"/>
  <c r="B387" i="2"/>
  <c r="A387" i="2"/>
  <c r="N386" i="2"/>
  <c r="M386" i="2"/>
  <c r="L386" i="2"/>
  <c r="K386" i="2"/>
  <c r="I386" i="2"/>
  <c r="H386" i="2"/>
  <c r="G386" i="2"/>
  <c r="F386" i="2"/>
  <c r="E386" i="2"/>
  <c r="D386" i="2"/>
  <c r="C386" i="2"/>
  <c r="B386" i="2"/>
  <c r="A386" i="2"/>
  <c r="N385" i="2"/>
  <c r="M385" i="2"/>
  <c r="L385" i="2"/>
  <c r="K385" i="2"/>
  <c r="I385" i="2"/>
  <c r="H385" i="2"/>
  <c r="G385" i="2"/>
  <c r="F385" i="2"/>
  <c r="E385" i="2"/>
  <c r="D385" i="2"/>
  <c r="C385" i="2"/>
  <c r="B385" i="2"/>
  <c r="A385" i="2"/>
  <c r="N384" i="2"/>
  <c r="M384" i="2"/>
  <c r="L384" i="2"/>
  <c r="K384" i="2"/>
  <c r="I384" i="2"/>
  <c r="H384" i="2"/>
  <c r="G384" i="2"/>
  <c r="F384" i="2"/>
  <c r="E384" i="2"/>
  <c r="D384" i="2"/>
  <c r="C384" i="2"/>
  <c r="B384" i="2"/>
  <c r="A384" i="2"/>
  <c r="N383" i="2"/>
  <c r="M383" i="2"/>
  <c r="L383" i="2"/>
  <c r="K383" i="2"/>
  <c r="I383" i="2"/>
  <c r="H383" i="2"/>
  <c r="G383" i="2"/>
  <c r="F383" i="2"/>
  <c r="E383" i="2"/>
  <c r="D383" i="2"/>
  <c r="C383" i="2"/>
  <c r="B383" i="2"/>
  <c r="A383" i="2"/>
  <c r="N382" i="2"/>
  <c r="M382" i="2"/>
  <c r="L382" i="2"/>
  <c r="K382" i="2"/>
  <c r="I382" i="2"/>
  <c r="H382" i="2"/>
  <c r="G382" i="2"/>
  <c r="F382" i="2"/>
  <c r="E382" i="2"/>
  <c r="D382" i="2"/>
  <c r="C382" i="2"/>
  <c r="B382" i="2"/>
  <c r="A382" i="2"/>
  <c r="N381" i="2"/>
  <c r="M381" i="2"/>
  <c r="L381" i="2"/>
  <c r="K381" i="2"/>
  <c r="I381" i="2"/>
  <c r="H381" i="2"/>
  <c r="G381" i="2"/>
  <c r="F381" i="2"/>
  <c r="E381" i="2"/>
  <c r="D381" i="2"/>
  <c r="C381" i="2"/>
  <c r="B381" i="2"/>
  <c r="A381" i="2"/>
  <c r="N380" i="2"/>
  <c r="M380" i="2"/>
  <c r="L380" i="2"/>
  <c r="K380" i="2"/>
  <c r="I380" i="2"/>
  <c r="H380" i="2"/>
  <c r="G380" i="2"/>
  <c r="F380" i="2"/>
  <c r="E380" i="2"/>
  <c r="D380" i="2"/>
  <c r="C380" i="2"/>
  <c r="B380" i="2"/>
  <c r="A380" i="2"/>
  <c r="N379" i="2"/>
  <c r="M379" i="2"/>
  <c r="L379" i="2"/>
  <c r="K379" i="2"/>
  <c r="I379" i="2"/>
  <c r="H379" i="2"/>
  <c r="G379" i="2"/>
  <c r="F379" i="2"/>
  <c r="E379" i="2"/>
  <c r="D379" i="2"/>
  <c r="C379" i="2"/>
  <c r="B379" i="2"/>
  <c r="A379" i="2"/>
  <c r="N378" i="2"/>
  <c r="M378" i="2"/>
  <c r="L378" i="2"/>
  <c r="K378" i="2"/>
  <c r="I378" i="2"/>
  <c r="H378" i="2"/>
  <c r="G378" i="2"/>
  <c r="F378" i="2"/>
  <c r="E378" i="2"/>
  <c r="D378" i="2"/>
  <c r="C378" i="2"/>
  <c r="B378" i="2"/>
  <c r="A378" i="2"/>
  <c r="N377" i="2"/>
  <c r="M377" i="2"/>
  <c r="L377" i="2"/>
  <c r="K377" i="2"/>
  <c r="I377" i="2"/>
  <c r="H377" i="2"/>
  <c r="G377" i="2"/>
  <c r="F377" i="2"/>
  <c r="E377" i="2"/>
  <c r="D377" i="2"/>
  <c r="C377" i="2"/>
  <c r="B377" i="2"/>
  <c r="A377" i="2"/>
  <c r="N376" i="2"/>
  <c r="M376" i="2"/>
  <c r="L376" i="2"/>
  <c r="K376" i="2"/>
  <c r="I376" i="2"/>
  <c r="H376" i="2"/>
  <c r="G376" i="2"/>
  <c r="F376" i="2"/>
  <c r="E376" i="2"/>
  <c r="D376" i="2"/>
  <c r="C376" i="2"/>
  <c r="B376" i="2"/>
  <c r="A376" i="2"/>
  <c r="N375" i="2"/>
  <c r="M375" i="2"/>
  <c r="L375" i="2"/>
  <c r="K375" i="2"/>
  <c r="I375" i="2"/>
  <c r="H375" i="2"/>
  <c r="G375" i="2"/>
  <c r="F375" i="2"/>
  <c r="E375" i="2"/>
  <c r="D375" i="2"/>
  <c r="C375" i="2"/>
  <c r="B375" i="2"/>
  <c r="A375" i="2"/>
  <c r="N374" i="2"/>
  <c r="M374" i="2"/>
  <c r="L374" i="2"/>
  <c r="K374" i="2"/>
  <c r="I374" i="2"/>
  <c r="H374" i="2"/>
  <c r="G374" i="2"/>
  <c r="F374" i="2"/>
  <c r="E374" i="2"/>
  <c r="D374" i="2"/>
  <c r="C374" i="2"/>
  <c r="B374" i="2"/>
  <c r="A374" i="2"/>
  <c r="N373" i="2"/>
  <c r="M373" i="2"/>
  <c r="L373" i="2"/>
  <c r="K373" i="2"/>
  <c r="I373" i="2"/>
  <c r="H373" i="2"/>
  <c r="G373" i="2"/>
  <c r="F373" i="2"/>
  <c r="E373" i="2"/>
  <c r="D373" i="2"/>
  <c r="C373" i="2"/>
  <c r="B373" i="2"/>
  <c r="A373" i="2"/>
  <c r="N372" i="2"/>
  <c r="M372" i="2"/>
  <c r="L372" i="2"/>
  <c r="K372" i="2"/>
  <c r="I372" i="2"/>
  <c r="H372" i="2"/>
  <c r="G372" i="2"/>
  <c r="F372" i="2"/>
  <c r="E372" i="2"/>
  <c r="D372" i="2"/>
  <c r="C372" i="2"/>
  <c r="B372" i="2"/>
  <c r="A372" i="2"/>
  <c r="N371" i="2"/>
  <c r="M371" i="2"/>
  <c r="L371" i="2"/>
  <c r="K371" i="2"/>
  <c r="I371" i="2"/>
  <c r="H371" i="2"/>
  <c r="G371" i="2"/>
  <c r="F371" i="2"/>
  <c r="E371" i="2"/>
  <c r="D371" i="2"/>
  <c r="C371" i="2"/>
  <c r="B371" i="2"/>
  <c r="A371" i="2"/>
  <c r="N370" i="2"/>
  <c r="M370" i="2"/>
  <c r="L370" i="2"/>
  <c r="K370" i="2"/>
  <c r="I370" i="2"/>
  <c r="H370" i="2"/>
  <c r="G370" i="2"/>
  <c r="F370" i="2"/>
  <c r="E370" i="2"/>
  <c r="C370" i="2"/>
  <c r="B370" i="2"/>
  <c r="A370" i="2"/>
  <c r="N369" i="2"/>
  <c r="M369" i="2"/>
  <c r="L369" i="2"/>
  <c r="K369" i="2"/>
  <c r="I369" i="2"/>
  <c r="H369" i="2"/>
  <c r="G369" i="2"/>
  <c r="F369" i="2"/>
  <c r="E369" i="2"/>
  <c r="D369" i="2"/>
  <c r="C369" i="2"/>
  <c r="B369" i="2"/>
  <c r="A369" i="2"/>
  <c r="N368" i="2"/>
  <c r="M368" i="2"/>
  <c r="L368" i="2"/>
  <c r="K368" i="2"/>
  <c r="I368" i="2"/>
  <c r="H368" i="2"/>
  <c r="G368" i="2"/>
  <c r="F368" i="2"/>
  <c r="E368" i="2"/>
  <c r="C368" i="2"/>
  <c r="B368" i="2"/>
  <c r="A368" i="2"/>
  <c r="N367" i="2"/>
  <c r="M367" i="2"/>
  <c r="L367" i="2"/>
  <c r="K367" i="2"/>
  <c r="I367" i="2"/>
  <c r="H367" i="2"/>
  <c r="G367" i="2"/>
  <c r="F367" i="2"/>
  <c r="E367" i="2"/>
  <c r="D367" i="2"/>
  <c r="C367" i="2"/>
  <c r="B367" i="2"/>
  <c r="A367" i="2"/>
  <c r="N366" i="2"/>
  <c r="M366" i="2"/>
  <c r="L366" i="2"/>
  <c r="K366" i="2"/>
  <c r="I366" i="2"/>
  <c r="H366" i="2"/>
  <c r="G366" i="2"/>
  <c r="F366" i="2"/>
  <c r="E366" i="2"/>
  <c r="D366" i="2"/>
  <c r="C366" i="2"/>
  <c r="B366" i="2"/>
  <c r="A366" i="2"/>
  <c r="N365" i="2"/>
  <c r="M365" i="2"/>
  <c r="L365" i="2"/>
  <c r="K365" i="2"/>
  <c r="I365" i="2"/>
  <c r="H365" i="2"/>
  <c r="G365" i="2"/>
  <c r="F365" i="2"/>
  <c r="E365" i="2"/>
  <c r="D365" i="2"/>
  <c r="C365" i="2"/>
  <c r="B365" i="2"/>
  <c r="A365" i="2"/>
  <c r="N364" i="2"/>
  <c r="M364" i="2"/>
  <c r="L364" i="2"/>
  <c r="K364" i="2"/>
  <c r="I364" i="2"/>
  <c r="H364" i="2"/>
  <c r="G364" i="2"/>
  <c r="F364" i="2"/>
  <c r="E364" i="2"/>
  <c r="D364" i="2"/>
  <c r="C364" i="2"/>
  <c r="B364" i="2"/>
  <c r="A364" i="2"/>
  <c r="N363" i="2"/>
  <c r="M363" i="2"/>
  <c r="L363" i="2"/>
  <c r="K363" i="2"/>
  <c r="I363" i="2"/>
  <c r="H363" i="2"/>
  <c r="G363" i="2"/>
  <c r="F363" i="2"/>
  <c r="E363" i="2"/>
  <c r="D363" i="2"/>
  <c r="C363" i="2"/>
  <c r="B363" i="2"/>
  <c r="A363" i="2"/>
  <c r="M362" i="2"/>
  <c r="L362" i="2"/>
  <c r="I362" i="2"/>
  <c r="H362" i="2"/>
  <c r="G362" i="2"/>
  <c r="F362" i="2"/>
  <c r="E362" i="2"/>
  <c r="D362" i="2"/>
  <c r="C362" i="2"/>
  <c r="B362" i="2"/>
  <c r="N361" i="2"/>
  <c r="M361" i="2"/>
  <c r="L361" i="2"/>
  <c r="K361" i="2"/>
  <c r="I361" i="2"/>
  <c r="H361" i="2"/>
  <c r="G361" i="2"/>
  <c r="F361" i="2"/>
  <c r="E361" i="2"/>
  <c r="D361" i="2"/>
  <c r="C361" i="2"/>
  <c r="B361" i="2"/>
  <c r="A361" i="2"/>
  <c r="N360" i="2"/>
  <c r="M360" i="2"/>
  <c r="L360" i="2"/>
  <c r="K360" i="2"/>
  <c r="I360" i="2"/>
  <c r="H360" i="2"/>
  <c r="G360" i="2"/>
  <c r="F360" i="2"/>
  <c r="E360" i="2"/>
  <c r="D360" i="2"/>
  <c r="C360" i="2"/>
  <c r="B360" i="2"/>
  <c r="A360" i="2"/>
  <c r="N359" i="2"/>
  <c r="L359" i="2"/>
  <c r="K359" i="2"/>
  <c r="I359" i="2"/>
  <c r="H359" i="2"/>
  <c r="G359" i="2"/>
  <c r="F359" i="2"/>
  <c r="E359" i="2"/>
  <c r="D359" i="2"/>
  <c r="B359" i="2"/>
  <c r="A359" i="2"/>
  <c r="N358" i="2"/>
  <c r="M358" i="2"/>
  <c r="L358" i="2"/>
  <c r="K358" i="2"/>
  <c r="I358" i="2"/>
  <c r="H358" i="2"/>
  <c r="G358" i="2"/>
  <c r="F358" i="2"/>
  <c r="E358" i="2"/>
  <c r="D358" i="2"/>
  <c r="C358" i="2"/>
  <c r="B358" i="2"/>
  <c r="A358" i="2"/>
  <c r="N357" i="2"/>
  <c r="M357" i="2"/>
  <c r="L357" i="2"/>
  <c r="K357" i="2"/>
  <c r="I357" i="2"/>
  <c r="H357" i="2"/>
  <c r="G357" i="2"/>
  <c r="F357" i="2"/>
  <c r="E357" i="2"/>
  <c r="D357" i="2"/>
  <c r="C357" i="2"/>
  <c r="B357" i="2"/>
  <c r="A357" i="2"/>
  <c r="N356" i="2"/>
  <c r="M356" i="2"/>
  <c r="L356" i="2"/>
  <c r="K356" i="2"/>
  <c r="I356" i="2"/>
  <c r="H356" i="2"/>
  <c r="G356" i="2"/>
  <c r="F356" i="2"/>
  <c r="E356" i="2"/>
  <c r="D356" i="2"/>
  <c r="C356" i="2"/>
  <c r="B356" i="2"/>
  <c r="A356" i="2"/>
  <c r="N355" i="2"/>
  <c r="M355" i="2"/>
  <c r="L355" i="2"/>
  <c r="K355" i="2"/>
  <c r="I355" i="2"/>
  <c r="H355" i="2"/>
  <c r="G355" i="2"/>
  <c r="F355" i="2"/>
  <c r="E355" i="2"/>
  <c r="D355" i="2"/>
  <c r="C355" i="2"/>
  <c r="B355" i="2"/>
  <c r="A355" i="2"/>
  <c r="N354" i="2"/>
  <c r="M354" i="2"/>
  <c r="L354" i="2"/>
  <c r="K354" i="2"/>
  <c r="I354" i="2"/>
  <c r="H354" i="2"/>
  <c r="G354" i="2"/>
  <c r="F354" i="2"/>
  <c r="E354" i="2"/>
  <c r="D354" i="2"/>
  <c r="C354" i="2"/>
  <c r="B354" i="2"/>
  <c r="A354" i="2"/>
  <c r="N353" i="2"/>
  <c r="M353" i="2"/>
  <c r="L353" i="2"/>
  <c r="I353" i="2"/>
  <c r="H353" i="2"/>
  <c r="G353" i="2"/>
  <c r="F353" i="2"/>
  <c r="E353" i="2"/>
  <c r="D353" i="2"/>
  <c r="C353" i="2"/>
  <c r="B353" i="2"/>
  <c r="N352" i="2"/>
  <c r="M352" i="2"/>
  <c r="L352" i="2"/>
  <c r="K352" i="2"/>
  <c r="I352" i="2"/>
  <c r="H352" i="2"/>
  <c r="G352" i="2"/>
  <c r="F352" i="2"/>
  <c r="E352" i="2"/>
  <c r="D352" i="2"/>
  <c r="C352" i="2"/>
  <c r="B352" i="2"/>
  <c r="A352" i="2"/>
  <c r="N351" i="2"/>
  <c r="M351" i="2"/>
  <c r="L351" i="2"/>
  <c r="K351" i="2"/>
  <c r="I351" i="2"/>
  <c r="H351" i="2"/>
  <c r="G351" i="2"/>
  <c r="F351" i="2"/>
  <c r="E351" i="2"/>
  <c r="D351" i="2"/>
  <c r="C351" i="2"/>
  <c r="B351" i="2"/>
  <c r="A351" i="2"/>
  <c r="N350" i="2"/>
  <c r="M350" i="2"/>
  <c r="L350" i="2"/>
  <c r="K350" i="2"/>
  <c r="I350" i="2"/>
  <c r="H350" i="2"/>
  <c r="G350" i="2"/>
  <c r="F350" i="2"/>
  <c r="E350" i="2"/>
  <c r="D350" i="2"/>
  <c r="B350" i="2"/>
  <c r="A350" i="2"/>
  <c r="N349" i="2"/>
  <c r="M349" i="2"/>
  <c r="L349" i="2"/>
  <c r="K349" i="2"/>
  <c r="I349" i="2"/>
  <c r="H349" i="2"/>
  <c r="G349" i="2"/>
  <c r="F349" i="2"/>
  <c r="E349" i="2"/>
  <c r="D349" i="2"/>
  <c r="C349" i="2"/>
  <c r="B349" i="2"/>
  <c r="A349" i="2"/>
  <c r="N348" i="2"/>
  <c r="M348" i="2"/>
  <c r="L348" i="2"/>
  <c r="K348" i="2"/>
  <c r="I348" i="2"/>
  <c r="H348" i="2"/>
  <c r="G348" i="2"/>
  <c r="F348" i="2"/>
  <c r="E348" i="2"/>
  <c r="D348" i="2"/>
  <c r="C348" i="2"/>
  <c r="B348" i="2"/>
  <c r="A348" i="2"/>
  <c r="N347" i="2"/>
  <c r="M347" i="2"/>
  <c r="L347" i="2"/>
  <c r="K347" i="2"/>
  <c r="I347" i="2"/>
  <c r="H347" i="2"/>
  <c r="G347" i="2"/>
  <c r="F347" i="2"/>
  <c r="E347" i="2"/>
  <c r="D347" i="2"/>
  <c r="C347" i="2"/>
  <c r="B347" i="2"/>
  <c r="A347" i="2"/>
  <c r="N346" i="2"/>
  <c r="M346" i="2"/>
  <c r="L346" i="2"/>
  <c r="K346" i="2"/>
  <c r="I346" i="2"/>
  <c r="H346" i="2"/>
  <c r="G346" i="2"/>
  <c r="F346" i="2"/>
  <c r="E346" i="2"/>
  <c r="D346" i="2"/>
  <c r="C346" i="2"/>
  <c r="B346" i="2"/>
  <c r="A346" i="2"/>
  <c r="N345" i="2"/>
  <c r="M345" i="2"/>
  <c r="L345" i="2"/>
  <c r="K345" i="2"/>
  <c r="I345" i="2"/>
  <c r="H345" i="2"/>
  <c r="G345" i="2"/>
  <c r="F345" i="2"/>
  <c r="E345" i="2"/>
  <c r="D345" i="2"/>
  <c r="C345" i="2"/>
  <c r="B345" i="2"/>
  <c r="A345" i="2"/>
  <c r="M344" i="2"/>
  <c r="L344" i="2"/>
  <c r="I344" i="2"/>
  <c r="H344" i="2"/>
  <c r="G344" i="2"/>
  <c r="F344" i="2"/>
  <c r="E344" i="2"/>
  <c r="D344" i="2"/>
  <c r="C344" i="2"/>
  <c r="B344" i="2"/>
  <c r="N343" i="2"/>
  <c r="M343" i="2"/>
  <c r="L343" i="2"/>
  <c r="K343" i="2"/>
  <c r="I343" i="2"/>
  <c r="H343" i="2"/>
  <c r="G343" i="2"/>
  <c r="F343" i="2"/>
  <c r="E343" i="2"/>
  <c r="D343" i="2"/>
  <c r="C343" i="2"/>
  <c r="B343" i="2"/>
  <c r="A343" i="2"/>
  <c r="N342" i="2"/>
  <c r="M342" i="2"/>
  <c r="L342" i="2"/>
  <c r="K342" i="2"/>
  <c r="I342" i="2"/>
  <c r="H342" i="2"/>
  <c r="G342" i="2"/>
  <c r="F342" i="2"/>
  <c r="E342" i="2"/>
  <c r="D342" i="2"/>
  <c r="C342" i="2"/>
  <c r="B342" i="2"/>
  <c r="A342" i="2"/>
  <c r="N341" i="2"/>
  <c r="M341" i="2"/>
  <c r="L341" i="2"/>
  <c r="K341" i="2"/>
  <c r="I341" i="2"/>
  <c r="H341" i="2"/>
  <c r="G341" i="2"/>
  <c r="F341" i="2"/>
  <c r="E341" i="2"/>
  <c r="D341" i="2"/>
  <c r="C341" i="2"/>
  <c r="B341" i="2"/>
  <c r="A341" i="2"/>
  <c r="N340" i="2"/>
  <c r="M340" i="2"/>
  <c r="L340" i="2"/>
  <c r="K340" i="2"/>
  <c r="I340" i="2"/>
  <c r="H340" i="2"/>
  <c r="G340" i="2"/>
  <c r="F340" i="2"/>
  <c r="E340" i="2"/>
  <c r="D340" i="2"/>
  <c r="C340" i="2"/>
  <c r="B340" i="2"/>
  <c r="A340" i="2"/>
  <c r="N339" i="2"/>
  <c r="M339" i="2"/>
  <c r="L339" i="2"/>
  <c r="K339" i="2"/>
  <c r="I339" i="2"/>
  <c r="H339" i="2"/>
  <c r="G339" i="2"/>
  <c r="F339" i="2"/>
  <c r="E339" i="2"/>
  <c r="D339" i="2"/>
  <c r="C339" i="2"/>
  <c r="B339" i="2"/>
  <c r="A339" i="2"/>
  <c r="N338" i="2"/>
  <c r="M338" i="2"/>
  <c r="L338" i="2"/>
  <c r="K338" i="2"/>
  <c r="I338" i="2"/>
  <c r="H338" i="2"/>
  <c r="G338" i="2"/>
  <c r="F338" i="2"/>
  <c r="E338" i="2"/>
  <c r="D338" i="2"/>
  <c r="C338" i="2"/>
  <c r="B338" i="2"/>
  <c r="A338" i="2"/>
  <c r="N337" i="2"/>
  <c r="M337" i="2"/>
  <c r="L337" i="2"/>
  <c r="K337" i="2"/>
  <c r="I337" i="2"/>
  <c r="H337" i="2"/>
  <c r="G337" i="2"/>
  <c r="F337" i="2"/>
  <c r="E337" i="2"/>
  <c r="D337" i="2"/>
  <c r="C337" i="2"/>
  <c r="B337" i="2"/>
  <c r="A337" i="2"/>
  <c r="N336" i="2"/>
  <c r="M336" i="2"/>
  <c r="L336" i="2"/>
  <c r="I336" i="2"/>
  <c r="H336" i="2"/>
  <c r="G336" i="2"/>
  <c r="F336" i="2"/>
  <c r="E336" i="2"/>
  <c r="C336" i="2"/>
  <c r="B336" i="2"/>
  <c r="N335" i="2"/>
  <c r="M335" i="2"/>
  <c r="L335" i="2"/>
  <c r="K335" i="2"/>
  <c r="I335" i="2"/>
  <c r="H335" i="2"/>
  <c r="G335" i="2"/>
  <c r="F335" i="2"/>
  <c r="E335" i="2"/>
  <c r="D335" i="2"/>
  <c r="C335" i="2"/>
  <c r="B335" i="2"/>
  <c r="A335" i="2"/>
  <c r="N334" i="2"/>
  <c r="M334" i="2"/>
  <c r="L334" i="2"/>
  <c r="K334" i="2"/>
  <c r="I334" i="2"/>
  <c r="H334" i="2"/>
  <c r="G334" i="2"/>
  <c r="F334" i="2"/>
  <c r="E334" i="2"/>
  <c r="D334" i="2"/>
  <c r="C334" i="2"/>
  <c r="B334" i="2"/>
  <c r="A334" i="2"/>
  <c r="N333" i="2"/>
  <c r="M333" i="2"/>
  <c r="L333" i="2"/>
  <c r="K333" i="2"/>
  <c r="I333" i="2"/>
  <c r="H333" i="2"/>
  <c r="G333" i="2"/>
  <c r="F333" i="2"/>
  <c r="E333" i="2"/>
  <c r="D333" i="2"/>
  <c r="C333" i="2"/>
  <c r="B333" i="2"/>
  <c r="A333" i="2"/>
  <c r="N332" i="2"/>
  <c r="M332" i="2"/>
  <c r="L332" i="2"/>
  <c r="K332" i="2"/>
  <c r="I332" i="2"/>
  <c r="H332" i="2"/>
  <c r="G332" i="2"/>
  <c r="F332" i="2"/>
  <c r="E332" i="2"/>
  <c r="D332" i="2"/>
  <c r="C332" i="2"/>
  <c r="B332" i="2"/>
  <c r="A332" i="2"/>
  <c r="N331" i="2"/>
  <c r="M331" i="2"/>
  <c r="L331" i="2"/>
  <c r="K331" i="2"/>
  <c r="I331" i="2"/>
  <c r="H331" i="2"/>
  <c r="G331" i="2"/>
  <c r="F331" i="2"/>
  <c r="E331" i="2"/>
  <c r="D331" i="2"/>
  <c r="C331" i="2"/>
  <c r="B331" i="2"/>
  <c r="A331" i="2"/>
  <c r="N330" i="2"/>
  <c r="M330" i="2"/>
  <c r="L330" i="2"/>
  <c r="K330" i="2"/>
  <c r="I330" i="2"/>
  <c r="H330" i="2"/>
  <c r="G330" i="2"/>
  <c r="F330" i="2"/>
  <c r="E330" i="2"/>
  <c r="D330" i="2"/>
  <c r="C330" i="2"/>
  <c r="B330" i="2"/>
  <c r="A330" i="2"/>
  <c r="N329" i="2"/>
  <c r="M329" i="2"/>
  <c r="L329" i="2"/>
  <c r="I329" i="2"/>
  <c r="H329" i="2"/>
  <c r="G329" i="2"/>
  <c r="F329" i="2"/>
  <c r="E329" i="2"/>
  <c r="D329" i="2"/>
  <c r="C329" i="2"/>
  <c r="B329" i="2"/>
  <c r="N328" i="2"/>
  <c r="M328" i="2"/>
  <c r="L328" i="2"/>
  <c r="K328" i="2"/>
  <c r="I328" i="2"/>
  <c r="H328" i="2"/>
  <c r="G328" i="2"/>
  <c r="F328" i="2"/>
  <c r="E328" i="2"/>
  <c r="D328" i="2"/>
  <c r="C328" i="2"/>
  <c r="B328" i="2"/>
  <c r="A328" i="2"/>
  <c r="N327" i="2"/>
  <c r="M327" i="2"/>
  <c r="L327" i="2"/>
  <c r="K327" i="2"/>
  <c r="I327" i="2"/>
  <c r="H327" i="2"/>
  <c r="G327" i="2"/>
  <c r="F327" i="2"/>
  <c r="E327" i="2"/>
  <c r="D327" i="2"/>
  <c r="C327" i="2"/>
  <c r="B327" i="2"/>
  <c r="A327" i="2"/>
  <c r="N326" i="2"/>
  <c r="M326" i="2"/>
  <c r="L326" i="2"/>
  <c r="K326" i="2"/>
  <c r="I326" i="2"/>
  <c r="H326" i="2"/>
  <c r="G326" i="2"/>
  <c r="F326" i="2"/>
  <c r="E326" i="2"/>
  <c r="D326" i="2"/>
  <c r="C326" i="2"/>
  <c r="B326" i="2"/>
  <c r="A326" i="2"/>
  <c r="N325" i="2"/>
  <c r="M325" i="2"/>
  <c r="L325" i="2"/>
  <c r="K325" i="2"/>
  <c r="I325" i="2"/>
  <c r="H325" i="2"/>
  <c r="G325" i="2"/>
  <c r="F325" i="2"/>
  <c r="E325" i="2"/>
  <c r="D325" i="2"/>
  <c r="C325" i="2"/>
  <c r="B325" i="2"/>
  <c r="A325" i="2"/>
  <c r="N324" i="2"/>
  <c r="M324" i="2"/>
  <c r="L324" i="2"/>
  <c r="I324" i="2"/>
  <c r="H324" i="2"/>
  <c r="G324" i="2"/>
  <c r="F324" i="2"/>
  <c r="E324" i="2"/>
  <c r="C324" i="2"/>
  <c r="B324" i="2"/>
  <c r="N323" i="2"/>
  <c r="M323" i="2"/>
  <c r="L323" i="2"/>
  <c r="K323" i="2"/>
  <c r="I323" i="2"/>
  <c r="H323" i="2"/>
  <c r="G323" i="2"/>
  <c r="F323" i="2"/>
  <c r="E323" i="2"/>
  <c r="D323" i="2"/>
  <c r="C323" i="2"/>
  <c r="B323" i="2"/>
  <c r="A323" i="2"/>
  <c r="M322" i="2"/>
  <c r="L322" i="2"/>
  <c r="I322" i="2"/>
  <c r="H322" i="2"/>
  <c r="G322" i="2"/>
  <c r="F322" i="2"/>
  <c r="E322" i="2"/>
  <c r="D322" i="2"/>
  <c r="C322" i="2"/>
  <c r="B322" i="2"/>
  <c r="N321" i="2"/>
  <c r="M321" i="2"/>
  <c r="K321" i="2"/>
  <c r="I321" i="2"/>
  <c r="H321" i="2"/>
  <c r="G321" i="2"/>
  <c r="F321" i="2"/>
  <c r="E321" i="2"/>
  <c r="D321" i="2"/>
  <c r="C321" i="2"/>
  <c r="B321" i="2"/>
  <c r="A321" i="2"/>
  <c r="N320" i="2"/>
  <c r="M320" i="2"/>
  <c r="L320" i="2"/>
  <c r="K320" i="2"/>
  <c r="I320" i="2"/>
  <c r="H320" i="2"/>
  <c r="G320" i="2"/>
  <c r="F320" i="2"/>
  <c r="E320" i="2"/>
  <c r="D320" i="2"/>
  <c r="C320" i="2"/>
  <c r="B320" i="2"/>
  <c r="A320" i="2"/>
  <c r="N319" i="2"/>
  <c r="M319" i="2"/>
  <c r="L319" i="2"/>
  <c r="K319" i="2"/>
  <c r="I319" i="2"/>
  <c r="H319" i="2"/>
  <c r="G319" i="2"/>
  <c r="F319" i="2"/>
  <c r="E319" i="2"/>
  <c r="D319" i="2"/>
  <c r="C319" i="2"/>
  <c r="B319" i="2"/>
  <c r="A319" i="2"/>
  <c r="N318" i="2"/>
  <c r="M318" i="2"/>
  <c r="L318" i="2"/>
  <c r="K318" i="2"/>
  <c r="I318" i="2"/>
  <c r="H318" i="2"/>
  <c r="G318" i="2"/>
  <c r="F318" i="2"/>
  <c r="E318" i="2"/>
  <c r="D318" i="2"/>
  <c r="C318" i="2"/>
  <c r="B318" i="2"/>
  <c r="A318" i="2"/>
  <c r="N317" i="2"/>
  <c r="M317" i="2"/>
  <c r="K317" i="2"/>
  <c r="I317" i="2"/>
  <c r="H317" i="2"/>
  <c r="G317" i="2"/>
  <c r="F317" i="2"/>
  <c r="E317" i="2"/>
  <c r="D317" i="2"/>
  <c r="C317" i="2"/>
  <c r="B317" i="2"/>
  <c r="A317" i="2"/>
  <c r="N316" i="2"/>
  <c r="M316" i="2"/>
  <c r="L316" i="2"/>
  <c r="K316" i="2"/>
  <c r="I316" i="2"/>
  <c r="H316" i="2"/>
  <c r="G316" i="2"/>
  <c r="F316" i="2"/>
  <c r="E316" i="2"/>
  <c r="D316" i="2"/>
  <c r="C316" i="2"/>
  <c r="B316" i="2"/>
  <c r="A316" i="2"/>
  <c r="N315" i="2"/>
  <c r="M315" i="2"/>
  <c r="L315" i="2"/>
  <c r="K315" i="2"/>
  <c r="I315" i="2"/>
  <c r="H315" i="2"/>
  <c r="G315" i="2"/>
  <c r="F315" i="2"/>
  <c r="E315" i="2"/>
  <c r="D315" i="2"/>
  <c r="C315" i="2"/>
  <c r="B315" i="2"/>
  <c r="A315" i="2"/>
  <c r="N314" i="2"/>
  <c r="M314" i="2"/>
  <c r="K314" i="2"/>
  <c r="I314" i="2"/>
  <c r="H314" i="2"/>
  <c r="G314" i="2"/>
  <c r="F314" i="2"/>
  <c r="E314" i="2"/>
  <c r="D314" i="2"/>
  <c r="C314" i="2"/>
  <c r="B314" i="2"/>
  <c r="A314" i="2"/>
  <c r="N313" i="2"/>
  <c r="M313" i="2"/>
  <c r="L313" i="2"/>
  <c r="K313" i="2"/>
  <c r="I313" i="2"/>
  <c r="H313" i="2"/>
  <c r="G313" i="2"/>
  <c r="F313" i="2"/>
  <c r="E313" i="2"/>
  <c r="D313" i="2"/>
  <c r="C313" i="2"/>
  <c r="B313" i="2"/>
  <c r="A313" i="2"/>
  <c r="N312" i="2"/>
  <c r="M312" i="2"/>
  <c r="K312" i="2"/>
  <c r="I312" i="2"/>
  <c r="H312" i="2"/>
  <c r="G312" i="2"/>
  <c r="F312" i="2"/>
  <c r="E312" i="2"/>
  <c r="D312" i="2"/>
  <c r="C312" i="2"/>
  <c r="B312" i="2"/>
  <c r="A312" i="2"/>
  <c r="N311" i="2"/>
  <c r="M311" i="2"/>
  <c r="K311" i="2"/>
  <c r="I311" i="2"/>
  <c r="H311" i="2"/>
  <c r="G311" i="2"/>
  <c r="F311" i="2"/>
  <c r="E311" i="2"/>
  <c r="D311" i="2"/>
  <c r="C311" i="2"/>
  <c r="B311" i="2"/>
  <c r="A311" i="2"/>
  <c r="N310" i="2"/>
  <c r="M310" i="2"/>
  <c r="K310" i="2"/>
  <c r="I310" i="2"/>
  <c r="H310" i="2"/>
  <c r="G310" i="2"/>
  <c r="F310" i="2"/>
  <c r="E310" i="2"/>
  <c r="D310" i="2"/>
  <c r="C310" i="2"/>
  <c r="B310" i="2"/>
  <c r="A310" i="2"/>
  <c r="N309" i="2"/>
  <c r="M309" i="2"/>
  <c r="L309" i="2"/>
  <c r="K309" i="2"/>
  <c r="I309" i="2"/>
  <c r="H309" i="2"/>
  <c r="G309" i="2"/>
  <c r="F309" i="2"/>
  <c r="E309" i="2"/>
  <c r="D309" i="2"/>
  <c r="C309" i="2"/>
  <c r="B309" i="2"/>
  <c r="A309" i="2"/>
  <c r="N308" i="2"/>
  <c r="M308" i="2"/>
  <c r="L308" i="2"/>
  <c r="K308" i="2"/>
  <c r="I308" i="2"/>
  <c r="H308" i="2"/>
  <c r="G308" i="2"/>
  <c r="F308" i="2"/>
  <c r="E308" i="2"/>
  <c r="D308" i="2"/>
  <c r="C308" i="2"/>
  <c r="B308" i="2"/>
  <c r="A308" i="2"/>
  <c r="N307" i="2"/>
  <c r="M307" i="2"/>
  <c r="L307" i="2"/>
  <c r="K307" i="2"/>
  <c r="I307" i="2"/>
  <c r="H307" i="2"/>
  <c r="G307" i="2"/>
  <c r="F307" i="2"/>
  <c r="E307" i="2"/>
  <c r="D307" i="2"/>
  <c r="C307" i="2"/>
  <c r="B307" i="2"/>
  <c r="A307" i="2"/>
  <c r="N306" i="2"/>
  <c r="M306" i="2"/>
  <c r="L306" i="2"/>
  <c r="I306" i="2"/>
  <c r="H306" i="2"/>
  <c r="G306" i="2"/>
  <c r="F306" i="2"/>
  <c r="E306" i="2"/>
  <c r="D306" i="2"/>
  <c r="C306" i="2"/>
  <c r="B306" i="2"/>
  <c r="N305" i="2"/>
  <c r="M305" i="2"/>
  <c r="K305" i="2"/>
  <c r="I305" i="2"/>
  <c r="H305" i="2"/>
  <c r="G305" i="2"/>
  <c r="F305" i="2"/>
  <c r="E305" i="2"/>
  <c r="D305" i="2"/>
  <c r="C305" i="2"/>
  <c r="B305" i="2"/>
  <c r="A305" i="2"/>
  <c r="N304" i="2"/>
  <c r="M304" i="2"/>
  <c r="L304" i="2"/>
  <c r="K304" i="2"/>
  <c r="I304" i="2"/>
  <c r="H304" i="2"/>
  <c r="G304" i="2"/>
  <c r="F304" i="2"/>
  <c r="E304" i="2"/>
  <c r="D304" i="2"/>
  <c r="C304" i="2"/>
  <c r="B304" i="2"/>
  <c r="A304" i="2"/>
  <c r="N303" i="2"/>
  <c r="M303" i="2"/>
  <c r="K303" i="2"/>
  <c r="I303" i="2"/>
  <c r="H303" i="2"/>
  <c r="G303" i="2"/>
  <c r="F303" i="2"/>
  <c r="E303" i="2"/>
  <c r="D303" i="2"/>
  <c r="C303" i="2"/>
  <c r="B303" i="2"/>
  <c r="A303" i="2"/>
  <c r="N302" i="2"/>
  <c r="M302" i="2"/>
  <c r="K302" i="2"/>
  <c r="I302" i="2"/>
  <c r="H302" i="2"/>
  <c r="G302" i="2"/>
  <c r="F302" i="2"/>
  <c r="E302" i="2"/>
  <c r="D302" i="2"/>
  <c r="C302" i="2"/>
  <c r="B302" i="2"/>
  <c r="A302" i="2"/>
  <c r="N301" i="2"/>
  <c r="M301" i="2"/>
  <c r="L301" i="2"/>
  <c r="I301" i="2"/>
  <c r="H301" i="2"/>
  <c r="G301" i="2"/>
  <c r="F301" i="2"/>
  <c r="E301" i="2"/>
  <c r="D301" i="2"/>
  <c r="C301" i="2"/>
  <c r="B301" i="2"/>
  <c r="A301" i="2"/>
  <c r="N300" i="2"/>
  <c r="M300" i="2"/>
  <c r="K300" i="2"/>
  <c r="I300" i="2"/>
  <c r="H300" i="2"/>
  <c r="G300" i="2"/>
  <c r="F300" i="2"/>
  <c r="E300" i="2"/>
  <c r="D300" i="2"/>
  <c r="C300" i="2"/>
  <c r="B300" i="2"/>
  <c r="A300" i="2"/>
  <c r="N299" i="2"/>
  <c r="M299" i="2"/>
  <c r="K299" i="2"/>
  <c r="I299" i="2"/>
  <c r="H299" i="2"/>
  <c r="G299" i="2"/>
  <c r="F299" i="2"/>
  <c r="E299" i="2"/>
  <c r="C299" i="2"/>
  <c r="B299" i="2"/>
  <c r="A299" i="2"/>
  <c r="N298" i="2"/>
  <c r="M298" i="2"/>
  <c r="L298" i="2"/>
  <c r="K298" i="2"/>
  <c r="I298" i="2"/>
  <c r="H298" i="2"/>
  <c r="G298" i="2"/>
  <c r="F298" i="2"/>
  <c r="E298" i="2"/>
  <c r="D298" i="2"/>
  <c r="C298" i="2"/>
  <c r="B298" i="2"/>
  <c r="A298" i="2"/>
  <c r="N297" i="2"/>
  <c r="M297" i="2"/>
  <c r="K297" i="2"/>
  <c r="I297" i="2"/>
  <c r="H297" i="2"/>
  <c r="G297" i="2"/>
  <c r="F297" i="2"/>
  <c r="E297" i="2"/>
  <c r="D297" i="2"/>
  <c r="C297" i="2"/>
  <c r="B297" i="2"/>
  <c r="A297" i="2"/>
  <c r="N296" i="2"/>
  <c r="M296" i="2"/>
  <c r="L296" i="2"/>
  <c r="K296" i="2"/>
  <c r="I296" i="2"/>
  <c r="H296" i="2"/>
  <c r="G296" i="2"/>
  <c r="F296" i="2"/>
  <c r="E296" i="2"/>
  <c r="D296" i="2"/>
  <c r="C296" i="2"/>
  <c r="B296" i="2"/>
  <c r="A296" i="2"/>
  <c r="N295" i="2"/>
  <c r="M295" i="2"/>
  <c r="L295" i="2"/>
  <c r="K295" i="2"/>
  <c r="I295" i="2"/>
  <c r="H295" i="2"/>
  <c r="G295" i="2"/>
  <c r="F295" i="2"/>
  <c r="E295" i="2"/>
  <c r="D295" i="2"/>
  <c r="C295" i="2"/>
  <c r="B295" i="2"/>
  <c r="A295" i="2"/>
  <c r="N294" i="2"/>
  <c r="M294" i="2"/>
  <c r="K294" i="2"/>
  <c r="I294" i="2"/>
  <c r="H294" i="2"/>
  <c r="G294" i="2"/>
  <c r="F294" i="2"/>
  <c r="E294" i="2"/>
  <c r="D294" i="2"/>
  <c r="C294" i="2"/>
  <c r="B294" i="2"/>
  <c r="A294" i="2"/>
  <c r="N293" i="2"/>
  <c r="M293" i="2"/>
  <c r="L293" i="2"/>
  <c r="K293" i="2"/>
  <c r="I293" i="2"/>
  <c r="H293" i="2"/>
  <c r="G293" i="2"/>
  <c r="F293" i="2"/>
  <c r="E293" i="2"/>
  <c r="D293" i="2"/>
  <c r="C293" i="2"/>
  <c r="B293" i="2"/>
  <c r="A293" i="2"/>
  <c r="N292" i="2"/>
  <c r="M292" i="2"/>
  <c r="L292" i="2"/>
  <c r="K292" i="2"/>
  <c r="I292" i="2"/>
  <c r="H292" i="2"/>
  <c r="G292" i="2"/>
  <c r="F292" i="2"/>
  <c r="E292" i="2"/>
  <c r="D292" i="2"/>
  <c r="C292" i="2"/>
  <c r="B292" i="2"/>
  <c r="A292" i="2"/>
  <c r="N291" i="2"/>
  <c r="M291" i="2"/>
  <c r="K291" i="2"/>
  <c r="I291" i="2"/>
  <c r="H291" i="2"/>
  <c r="G291" i="2"/>
  <c r="F291" i="2"/>
  <c r="E291" i="2"/>
  <c r="D291" i="2"/>
  <c r="C291" i="2"/>
  <c r="B291" i="2"/>
  <c r="A291" i="2"/>
  <c r="N290" i="2"/>
  <c r="M290" i="2"/>
  <c r="L290" i="2"/>
  <c r="K290" i="2"/>
  <c r="I290" i="2"/>
  <c r="H290" i="2"/>
  <c r="G290" i="2"/>
  <c r="F290" i="2"/>
  <c r="E290" i="2"/>
  <c r="D290" i="2"/>
  <c r="C290" i="2"/>
  <c r="B290" i="2"/>
  <c r="A290" i="2"/>
  <c r="N289" i="2"/>
  <c r="M289" i="2"/>
  <c r="K289" i="2"/>
  <c r="I289" i="2"/>
  <c r="H289" i="2"/>
  <c r="G289" i="2"/>
  <c r="F289" i="2"/>
  <c r="E289" i="2"/>
  <c r="D289" i="2"/>
  <c r="C289" i="2"/>
  <c r="B289" i="2"/>
  <c r="A289" i="2"/>
  <c r="N288" i="2"/>
  <c r="M288" i="2"/>
  <c r="L288" i="2"/>
  <c r="K288" i="2"/>
  <c r="I288" i="2"/>
  <c r="H288" i="2"/>
  <c r="G288" i="2"/>
  <c r="F288" i="2"/>
  <c r="E288" i="2"/>
  <c r="D288" i="2"/>
  <c r="C288" i="2"/>
  <c r="B288" i="2"/>
  <c r="A288" i="2"/>
  <c r="N287" i="2"/>
  <c r="M287" i="2"/>
  <c r="L287" i="2"/>
  <c r="K287" i="2"/>
  <c r="I287" i="2"/>
  <c r="H287" i="2"/>
  <c r="G287" i="2"/>
  <c r="F287" i="2"/>
  <c r="E287" i="2"/>
  <c r="D287" i="2"/>
  <c r="C287" i="2"/>
  <c r="B287" i="2"/>
  <c r="A287" i="2"/>
  <c r="N286" i="2"/>
  <c r="M286" i="2"/>
  <c r="L286" i="2"/>
  <c r="K286" i="2"/>
  <c r="I286" i="2"/>
  <c r="H286" i="2"/>
  <c r="G286" i="2"/>
  <c r="F286" i="2"/>
  <c r="E286" i="2"/>
  <c r="D286" i="2"/>
  <c r="C286" i="2"/>
  <c r="B286" i="2"/>
  <c r="A286" i="2"/>
  <c r="N285" i="2"/>
  <c r="M285" i="2"/>
  <c r="L285" i="2"/>
  <c r="K285" i="2"/>
  <c r="I285" i="2"/>
  <c r="H285" i="2"/>
  <c r="G285" i="2"/>
  <c r="F285" i="2"/>
  <c r="E285" i="2"/>
  <c r="D285" i="2"/>
  <c r="C285" i="2"/>
  <c r="B285" i="2"/>
  <c r="A285" i="2"/>
  <c r="N284" i="2"/>
  <c r="M284" i="2"/>
  <c r="K284" i="2"/>
  <c r="I284" i="2"/>
  <c r="H284" i="2"/>
  <c r="G284" i="2"/>
  <c r="F284" i="2"/>
  <c r="E284" i="2"/>
  <c r="D284" i="2"/>
  <c r="C284" i="2"/>
  <c r="B284" i="2"/>
  <c r="A284" i="2"/>
  <c r="N283" i="2"/>
  <c r="M283" i="2"/>
  <c r="L283" i="2"/>
  <c r="K283" i="2"/>
  <c r="I283" i="2"/>
  <c r="H283" i="2"/>
  <c r="G283" i="2"/>
  <c r="F283" i="2"/>
  <c r="E283" i="2"/>
  <c r="D283" i="2"/>
  <c r="C283" i="2"/>
  <c r="B283" i="2"/>
  <c r="A283" i="2"/>
  <c r="N282" i="2"/>
  <c r="M282" i="2"/>
  <c r="K282" i="2"/>
  <c r="I282" i="2"/>
  <c r="H282" i="2"/>
  <c r="G282" i="2"/>
  <c r="F282" i="2"/>
  <c r="E282" i="2"/>
  <c r="D282" i="2"/>
  <c r="C282" i="2"/>
  <c r="B282" i="2"/>
  <c r="A282" i="2"/>
  <c r="N281" i="2"/>
  <c r="M281" i="2"/>
  <c r="L281" i="2"/>
  <c r="K281" i="2"/>
  <c r="I281" i="2"/>
  <c r="H281" i="2"/>
  <c r="G281" i="2"/>
  <c r="F281" i="2"/>
  <c r="E281" i="2"/>
  <c r="C281" i="2"/>
  <c r="B281" i="2"/>
  <c r="A281" i="2"/>
  <c r="N280" i="2"/>
  <c r="M280" i="2"/>
  <c r="L280" i="2"/>
  <c r="I280" i="2"/>
  <c r="H280" i="2"/>
  <c r="G280" i="2"/>
  <c r="F280" i="2"/>
  <c r="E280" i="2"/>
  <c r="D280" i="2"/>
  <c r="C280" i="2"/>
  <c r="B280" i="2"/>
  <c r="N279" i="2"/>
  <c r="M279" i="2"/>
  <c r="L279" i="2"/>
  <c r="K279" i="2"/>
  <c r="I279" i="2"/>
  <c r="H279" i="2"/>
  <c r="G279" i="2"/>
  <c r="F279" i="2"/>
  <c r="E279" i="2"/>
  <c r="D279" i="2"/>
  <c r="C279" i="2"/>
  <c r="B279" i="2"/>
  <c r="A279" i="2"/>
  <c r="N278" i="2"/>
  <c r="K278" i="2"/>
  <c r="I278" i="2"/>
  <c r="H278" i="2"/>
  <c r="G278" i="2"/>
  <c r="F278" i="2"/>
  <c r="E278" i="2"/>
  <c r="D278" i="2"/>
  <c r="C278" i="2"/>
  <c r="B278" i="2"/>
  <c r="A278" i="2"/>
  <c r="N277" i="2"/>
  <c r="M277" i="2"/>
  <c r="L277" i="2"/>
  <c r="K277" i="2"/>
  <c r="I277" i="2"/>
  <c r="H277" i="2"/>
  <c r="G277" i="2"/>
  <c r="F277" i="2"/>
  <c r="E277" i="2"/>
  <c r="C277" i="2"/>
  <c r="B277" i="2"/>
  <c r="A277" i="2"/>
  <c r="N276" i="2"/>
  <c r="M276" i="2"/>
  <c r="K276" i="2"/>
  <c r="I276" i="2"/>
  <c r="H276" i="2"/>
  <c r="G276" i="2"/>
  <c r="F276" i="2"/>
  <c r="E276" i="2"/>
  <c r="C276" i="2"/>
  <c r="B276" i="2"/>
  <c r="A276" i="2"/>
  <c r="N275" i="2"/>
  <c r="M275" i="2"/>
  <c r="L275" i="2"/>
  <c r="I275" i="2"/>
  <c r="G275" i="2"/>
  <c r="E275" i="2"/>
  <c r="D275" i="2"/>
  <c r="C275" i="2"/>
  <c r="B275" i="2"/>
  <c r="N274" i="2"/>
  <c r="M274" i="2"/>
  <c r="K274" i="2"/>
  <c r="I274" i="2"/>
  <c r="H274" i="2"/>
  <c r="G274" i="2"/>
  <c r="F274" i="2"/>
  <c r="E274" i="2"/>
  <c r="D274" i="2"/>
  <c r="C274" i="2"/>
  <c r="B274" i="2"/>
  <c r="A274" i="2"/>
  <c r="N273" i="2"/>
  <c r="M273" i="2"/>
  <c r="K273" i="2"/>
  <c r="I273" i="2"/>
  <c r="H273" i="2"/>
  <c r="G273" i="2"/>
  <c r="F273" i="2"/>
  <c r="E273" i="2"/>
  <c r="D273" i="2"/>
  <c r="C273" i="2"/>
  <c r="B273" i="2"/>
  <c r="A273" i="2"/>
  <c r="N272" i="2"/>
  <c r="M272" i="2"/>
  <c r="K272" i="2"/>
  <c r="I272" i="2"/>
  <c r="H272" i="2"/>
  <c r="G272" i="2"/>
  <c r="F272" i="2"/>
  <c r="E272" i="2"/>
  <c r="C272" i="2"/>
  <c r="B272" i="2"/>
  <c r="A272" i="2"/>
  <c r="N271" i="2"/>
  <c r="M271" i="2"/>
  <c r="K271" i="2"/>
  <c r="I271" i="2"/>
  <c r="H271" i="2"/>
  <c r="G271" i="2"/>
  <c r="F271" i="2"/>
  <c r="E271" i="2"/>
  <c r="D271" i="2"/>
  <c r="C271" i="2"/>
  <c r="B271" i="2"/>
  <c r="A271" i="2"/>
  <c r="N270" i="2"/>
  <c r="M270" i="2"/>
  <c r="L270" i="2"/>
  <c r="K270" i="2"/>
  <c r="I270" i="2"/>
  <c r="H270" i="2"/>
  <c r="G270" i="2"/>
  <c r="F270" i="2"/>
  <c r="E270" i="2"/>
  <c r="D270" i="2"/>
  <c r="C270" i="2"/>
  <c r="B270" i="2"/>
  <c r="A270" i="2"/>
  <c r="N269" i="2"/>
  <c r="M269" i="2"/>
  <c r="L269" i="2"/>
  <c r="K269" i="2"/>
  <c r="I269" i="2"/>
  <c r="H269" i="2"/>
  <c r="G269" i="2"/>
  <c r="F269" i="2"/>
  <c r="E269" i="2"/>
  <c r="D269" i="2"/>
  <c r="C269" i="2"/>
  <c r="B269" i="2"/>
  <c r="A269" i="2"/>
  <c r="N268" i="2"/>
  <c r="M268" i="2"/>
  <c r="L268" i="2"/>
  <c r="K268" i="2"/>
  <c r="I268" i="2"/>
  <c r="H268" i="2"/>
  <c r="G268" i="2"/>
  <c r="F268" i="2"/>
  <c r="E268" i="2"/>
  <c r="D268" i="2"/>
  <c r="C268" i="2"/>
  <c r="B268" i="2"/>
  <c r="A268" i="2"/>
  <c r="N267" i="2"/>
  <c r="M267" i="2"/>
  <c r="K267" i="2"/>
  <c r="I267" i="2"/>
  <c r="H267" i="2"/>
  <c r="G267" i="2"/>
  <c r="F267" i="2"/>
  <c r="E267" i="2"/>
  <c r="D267" i="2"/>
  <c r="C267" i="2"/>
  <c r="B267" i="2"/>
  <c r="A267" i="2"/>
  <c r="N266" i="2"/>
  <c r="M266" i="2"/>
  <c r="K266" i="2"/>
  <c r="I266" i="2"/>
  <c r="H266" i="2"/>
  <c r="G266" i="2"/>
  <c r="F266" i="2"/>
  <c r="E266" i="2"/>
  <c r="D266" i="2"/>
  <c r="C266" i="2"/>
  <c r="B266" i="2"/>
  <c r="A266" i="2"/>
  <c r="N265" i="2"/>
  <c r="M265" i="2"/>
  <c r="K265" i="2"/>
  <c r="I265" i="2"/>
  <c r="H265" i="2"/>
  <c r="G265" i="2"/>
  <c r="F265" i="2"/>
  <c r="E265" i="2"/>
  <c r="D265" i="2"/>
  <c r="C265" i="2"/>
  <c r="B265" i="2"/>
  <c r="A265" i="2"/>
  <c r="N264" i="2"/>
  <c r="M264" i="2"/>
  <c r="L264" i="2"/>
  <c r="K264" i="2"/>
  <c r="I264" i="2"/>
  <c r="H264" i="2"/>
  <c r="G264" i="2"/>
  <c r="F264" i="2"/>
  <c r="E264" i="2"/>
  <c r="D264" i="2"/>
  <c r="C264" i="2"/>
  <c r="B264" i="2"/>
  <c r="A264" i="2"/>
  <c r="N263" i="2"/>
  <c r="M263" i="2"/>
  <c r="K263" i="2"/>
  <c r="I263" i="2"/>
  <c r="H263" i="2"/>
  <c r="G263" i="2"/>
  <c r="F263" i="2"/>
  <c r="E263" i="2"/>
  <c r="D263" i="2"/>
  <c r="C263" i="2"/>
  <c r="B263" i="2"/>
  <c r="A263" i="2"/>
  <c r="N262" i="2"/>
  <c r="M262" i="2"/>
  <c r="L262" i="2"/>
  <c r="K262" i="2"/>
  <c r="I262" i="2"/>
  <c r="H262" i="2"/>
  <c r="G262" i="2"/>
  <c r="F262" i="2"/>
  <c r="E262" i="2"/>
  <c r="C262" i="2"/>
  <c r="B262" i="2"/>
  <c r="A262" i="2"/>
  <c r="N261" i="2"/>
  <c r="M261" i="2"/>
  <c r="L261" i="2"/>
  <c r="K261" i="2"/>
  <c r="I261" i="2"/>
  <c r="H261" i="2"/>
  <c r="G261" i="2"/>
  <c r="F261" i="2"/>
  <c r="E261" i="2"/>
  <c r="D261" i="2"/>
  <c r="C261" i="2"/>
  <c r="B261" i="2"/>
  <c r="A261" i="2"/>
  <c r="N260" i="2"/>
  <c r="M260" i="2"/>
  <c r="L260" i="2"/>
  <c r="K260" i="2"/>
  <c r="I260" i="2"/>
  <c r="H260" i="2"/>
  <c r="G260" i="2"/>
  <c r="F260" i="2"/>
  <c r="E260" i="2"/>
  <c r="D260" i="2"/>
  <c r="C260" i="2"/>
  <c r="B260" i="2"/>
  <c r="A260" i="2"/>
  <c r="N259" i="2"/>
  <c r="M259" i="2"/>
  <c r="L259" i="2"/>
  <c r="K259" i="2"/>
  <c r="I259" i="2"/>
  <c r="H259" i="2"/>
  <c r="G259" i="2"/>
  <c r="F259" i="2"/>
  <c r="E259" i="2"/>
  <c r="D259" i="2"/>
  <c r="C259" i="2"/>
  <c r="B259" i="2"/>
  <c r="A259" i="2"/>
  <c r="N258" i="2"/>
  <c r="M258" i="2"/>
  <c r="L258" i="2"/>
  <c r="K258" i="2"/>
  <c r="I258" i="2"/>
  <c r="H258" i="2"/>
  <c r="G258" i="2"/>
  <c r="F258" i="2"/>
  <c r="E258" i="2"/>
  <c r="C258" i="2"/>
  <c r="B258" i="2"/>
  <c r="A258" i="2"/>
  <c r="N257" i="2"/>
  <c r="M257" i="2"/>
  <c r="K257" i="2"/>
  <c r="I257" i="2"/>
  <c r="H257" i="2"/>
  <c r="G257" i="2"/>
  <c r="F257" i="2"/>
  <c r="E257" i="2"/>
  <c r="D257" i="2"/>
  <c r="C257" i="2"/>
  <c r="B257" i="2"/>
  <c r="A257" i="2"/>
  <c r="N256" i="2"/>
  <c r="M256" i="2"/>
  <c r="L256" i="2"/>
  <c r="K256" i="2"/>
  <c r="I256" i="2"/>
  <c r="H256" i="2"/>
  <c r="G256" i="2"/>
  <c r="F256" i="2"/>
  <c r="E256" i="2"/>
  <c r="D256" i="2"/>
  <c r="C256" i="2"/>
  <c r="B256" i="2"/>
  <c r="A256" i="2"/>
  <c r="N255" i="2"/>
  <c r="M255" i="2"/>
  <c r="L255" i="2"/>
  <c r="K255" i="2"/>
  <c r="I255" i="2"/>
  <c r="H255" i="2"/>
  <c r="G255" i="2"/>
  <c r="F255" i="2"/>
  <c r="E255" i="2"/>
  <c r="D255" i="2"/>
  <c r="C255" i="2"/>
  <c r="B255" i="2"/>
  <c r="A255" i="2"/>
  <c r="N254" i="2"/>
  <c r="M254" i="2"/>
  <c r="L254" i="2"/>
  <c r="K254" i="2"/>
  <c r="I254" i="2"/>
  <c r="H254" i="2"/>
  <c r="G254" i="2"/>
  <c r="F254" i="2"/>
  <c r="E254" i="2"/>
  <c r="D254" i="2"/>
  <c r="C254" i="2"/>
  <c r="B254" i="2"/>
  <c r="A254" i="2"/>
  <c r="N253" i="2"/>
  <c r="M253" i="2"/>
  <c r="K253" i="2"/>
  <c r="I253" i="2"/>
  <c r="H253" i="2"/>
  <c r="G253" i="2"/>
  <c r="F253" i="2"/>
  <c r="E253" i="2"/>
  <c r="C253" i="2"/>
  <c r="B253" i="2"/>
  <c r="A253" i="2"/>
  <c r="N252" i="2"/>
  <c r="M252" i="2"/>
  <c r="K252" i="2"/>
  <c r="I252" i="2"/>
  <c r="H252" i="2"/>
  <c r="G252" i="2"/>
  <c r="F252" i="2"/>
  <c r="E252" i="2"/>
  <c r="D252" i="2"/>
  <c r="C252" i="2"/>
  <c r="B252" i="2"/>
  <c r="A252" i="2"/>
  <c r="N251" i="2"/>
  <c r="M251" i="2"/>
  <c r="K251" i="2"/>
  <c r="I251" i="2"/>
  <c r="H251" i="2"/>
  <c r="G251" i="2"/>
  <c r="F251" i="2"/>
  <c r="E251" i="2"/>
  <c r="D251" i="2"/>
  <c r="C251" i="2"/>
  <c r="B251" i="2"/>
  <c r="A251" i="2"/>
  <c r="N250" i="2"/>
  <c r="M250" i="2"/>
  <c r="K250" i="2"/>
  <c r="I250" i="2"/>
  <c r="H250" i="2"/>
  <c r="G250" i="2"/>
  <c r="F250" i="2"/>
  <c r="E250" i="2"/>
  <c r="D250" i="2"/>
  <c r="C250" i="2"/>
  <c r="B250" i="2"/>
  <c r="A250" i="2"/>
  <c r="N249" i="2"/>
  <c r="M249" i="2"/>
  <c r="L249" i="2"/>
  <c r="K249" i="2"/>
  <c r="I249" i="2"/>
  <c r="H249" i="2"/>
  <c r="G249" i="2"/>
  <c r="F249" i="2"/>
  <c r="E249" i="2"/>
  <c r="C249" i="2"/>
  <c r="B249" i="2"/>
  <c r="A249" i="2"/>
  <c r="N248" i="2"/>
  <c r="M248" i="2"/>
  <c r="K248" i="2"/>
  <c r="I248" i="2"/>
  <c r="H248" i="2"/>
  <c r="G248" i="2"/>
  <c r="F248" i="2"/>
  <c r="E248" i="2"/>
  <c r="D248" i="2"/>
  <c r="C248" i="2"/>
  <c r="B248" i="2"/>
  <c r="A248" i="2"/>
  <c r="N247" i="2"/>
  <c r="M247" i="2"/>
  <c r="K247" i="2"/>
  <c r="I247" i="2"/>
  <c r="H247" i="2"/>
  <c r="G247" i="2"/>
  <c r="F247" i="2"/>
  <c r="E247" i="2"/>
  <c r="D247" i="2"/>
  <c r="C247" i="2"/>
  <c r="B247" i="2"/>
  <c r="A247" i="2"/>
  <c r="N246" i="2"/>
  <c r="M246" i="2"/>
  <c r="K246" i="2"/>
  <c r="I246" i="2"/>
  <c r="H246" i="2"/>
  <c r="G246" i="2"/>
  <c r="F246" i="2"/>
  <c r="E246" i="2"/>
  <c r="C246" i="2"/>
  <c r="B246" i="2"/>
  <c r="A246" i="2"/>
  <c r="N245" i="2"/>
  <c r="M245" i="2"/>
  <c r="L245" i="2"/>
  <c r="K245" i="2"/>
  <c r="I245" i="2"/>
  <c r="H245" i="2"/>
  <c r="G245" i="2"/>
  <c r="F245" i="2"/>
  <c r="E245" i="2"/>
  <c r="D245" i="2"/>
  <c r="C245" i="2"/>
  <c r="B245" i="2"/>
  <c r="A245" i="2"/>
  <c r="N244" i="2"/>
  <c r="M244" i="2"/>
  <c r="K244" i="2"/>
  <c r="I244" i="2"/>
  <c r="H244" i="2"/>
  <c r="G244" i="2"/>
  <c r="F244" i="2"/>
  <c r="E244" i="2"/>
  <c r="D244" i="2"/>
  <c r="C244" i="2"/>
  <c r="B244" i="2"/>
  <c r="A244" i="2"/>
  <c r="N243" i="2"/>
  <c r="M243" i="2"/>
  <c r="K243" i="2"/>
  <c r="I243" i="2"/>
  <c r="H243" i="2"/>
  <c r="G243" i="2"/>
  <c r="F243" i="2"/>
  <c r="E243" i="2"/>
  <c r="D243" i="2"/>
  <c r="C243" i="2"/>
  <c r="B243" i="2"/>
  <c r="A243" i="2"/>
  <c r="N242" i="2"/>
  <c r="M242" i="2"/>
  <c r="K242" i="2"/>
  <c r="I242" i="2"/>
  <c r="H242" i="2"/>
  <c r="G242" i="2"/>
  <c r="F242" i="2"/>
  <c r="E242" i="2"/>
  <c r="D242" i="2"/>
  <c r="C242" i="2"/>
  <c r="B242" i="2"/>
  <c r="A242" i="2"/>
  <c r="N241" i="2"/>
  <c r="M241" i="2"/>
  <c r="L241" i="2"/>
  <c r="K241" i="2"/>
  <c r="I241" i="2"/>
  <c r="H241" i="2"/>
  <c r="G241" i="2"/>
  <c r="F241" i="2"/>
  <c r="E241" i="2"/>
  <c r="D241" i="2"/>
  <c r="C241" i="2"/>
  <c r="B241" i="2"/>
  <c r="A241" i="2"/>
  <c r="N240" i="2"/>
  <c r="M240" i="2"/>
  <c r="K240" i="2"/>
  <c r="I240" i="2"/>
  <c r="H240" i="2"/>
  <c r="G240" i="2"/>
  <c r="F240" i="2"/>
  <c r="E240" i="2"/>
  <c r="D240" i="2"/>
  <c r="C240" i="2"/>
  <c r="B240" i="2"/>
  <c r="A240" i="2"/>
  <c r="N239" i="2"/>
  <c r="M239" i="2"/>
  <c r="K239" i="2"/>
  <c r="I239" i="2"/>
  <c r="H239" i="2"/>
  <c r="G239" i="2"/>
  <c r="F239" i="2"/>
  <c r="E239" i="2"/>
  <c r="D239" i="2"/>
  <c r="C239" i="2"/>
  <c r="B239" i="2"/>
  <c r="A239" i="2"/>
  <c r="N238" i="2"/>
  <c r="M238" i="2"/>
  <c r="I238" i="2"/>
  <c r="H238" i="2"/>
  <c r="G238" i="2"/>
  <c r="F238" i="2"/>
  <c r="E238" i="2"/>
  <c r="D238" i="2"/>
  <c r="C238" i="2"/>
  <c r="B238" i="2"/>
  <c r="A238" i="2"/>
  <c r="N237" i="2"/>
  <c r="M237" i="2"/>
  <c r="K237" i="2"/>
  <c r="I237" i="2"/>
  <c r="H237" i="2"/>
  <c r="G237" i="2"/>
  <c r="F237" i="2"/>
  <c r="E237" i="2"/>
  <c r="D237" i="2"/>
  <c r="C237" i="2"/>
  <c r="B237" i="2"/>
  <c r="A237" i="2"/>
  <c r="N236" i="2"/>
  <c r="M236" i="2"/>
  <c r="K236" i="2"/>
  <c r="I236" i="2"/>
  <c r="H236" i="2"/>
  <c r="G236" i="2"/>
  <c r="F236" i="2"/>
  <c r="E236" i="2"/>
  <c r="D236" i="2"/>
  <c r="C236" i="2"/>
  <c r="B236" i="2"/>
  <c r="A236" i="2"/>
  <c r="N235" i="2"/>
  <c r="M235" i="2"/>
  <c r="L235" i="2"/>
  <c r="K235" i="2"/>
  <c r="I235" i="2"/>
  <c r="H235" i="2"/>
  <c r="G235" i="2"/>
  <c r="F235" i="2"/>
  <c r="E235" i="2"/>
  <c r="D235" i="2"/>
  <c r="C235" i="2"/>
  <c r="B235" i="2"/>
  <c r="A235" i="2"/>
  <c r="N234" i="2"/>
  <c r="M234" i="2"/>
  <c r="K234" i="2"/>
  <c r="I234" i="2"/>
  <c r="H234" i="2"/>
  <c r="G234" i="2"/>
  <c r="F234" i="2"/>
  <c r="E234" i="2"/>
  <c r="D234" i="2"/>
  <c r="C234" i="2"/>
  <c r="B234" i="2"/>
  <c r="A234" i="2"/>
  <c r="N233" i="2"/>
  <c r="M233" i="2"/>
  <c r="K233" i="2"/>
  <c r="I233" i="2"/>
  <c r="H233" i="2"/>
  <c r="G233" i="2"/>
  <c r="F233" i="2"/>
  <c r="E233" i="2"/>
  <c r="D233" i="2"/>
  <c r="C233" i="2"/>
  <c r="B233" i="2"/>
  <c r="A233" i="2"/>
  <c r="N232" i="2"/>
  <c r="M232" i="2"/>
  <c r="L232" i="2"/>
  <c r="K232" i="2"/>
  <c r="I232" i="2"/>
  <c r="H232" i="2"/>
  <c r="G232" i="2"/>
  <c r="F232" i="2"/>
  <c r="E232" i="2"/>
  <c r="D232" i="2"/>
  <c r="C232" i="2"/>
  <c r="B232" i="2"/>
  <c r="A232" i="2"/>
  <c r="N231" i="2"/>
  <c r="M231" i="2"/>
  <c r="L231" i="2"/>
  <c r="K231" i="2"/>
  <c r="I231" i="2"/>
  <c r="H231" i="2"/>
  <c r="G231" i="2"/>
  <c r="F231" i="2"/>
  <c r="E231" i="2"/>
  <c r="D231" i="2"/>
  <c r="C231" i="2"/>
  <c r="B231" i="2"/>
  <c r="A231" i="2"/>
  <c r="N230" i="2"/>
  <c r="M230" i="2"/>
  <c r="I230" i="2"/>
  <c r="H230" i="2"/>
  <c r="G230" i="2"/>
  <c r="F230" i="2"/>
  <c r="E230" i="2"/>
  <c r="C230" i="2"/>
  <c r="B230" i="2"/>
  <c r="N229" i="2"/>
  <c r="M229" i="2"/>
  <c r="L229" i="2"/>
  <c r="K229" i="2"/>
  <c r="I229" i="2"/>
  <c r="H229" i="2"/>
  <c r="G229" i="2"/>
  <c r="F229" i="2"/>
  <c r="E229" i="2"/>
  <c r="D229" i="2"/>
  <c r="C229" i="2"/>
  <c r="B229" i="2"/>
  <c r="A229" i="2"/>
  <c r="N228" i="2"/>
  <c r="M228" i="2"/>
  <c r="I228" i="2"/>
  <c r="H228" i="2"/>
  <c r="G228" i="2"/>
  <c r="F228" i="2"/>
  <c r="E228" i="2"/>
  <c r="D228" i="2"/>
  <c r="C228" i="2"/>
  <c r="B228" i="2"/>
  <c r="N227" i="2"/>
  <c r="M227" i="2"/>
  <c r="K227" i="2"/>
  <c r="I227" i="2"/>
  <c r="H227" i="2"/>
  <c r="G227" i="2"/>
  <c r="F227" i="2"/>
  <c r="E227" i="2"/>
  <c r="D227" i="2"/>
  <c r="C227" i="2"/>
  <c r="B227" i="2"/>
  <c r="A227" i="2"/>
  <c r="N226" i="2"/>
  <c r="M226" i="2"/>
  <c r="K226" i="2"/>
  <c r="I226" i="2"/>
  <c r="H226" i="2"/>
  <c r="G226" i="2"/>
  <c r="F226" i="2"/>
  <c r="E226" i="2"/>
  <c r="C226" i="2"/>
  <c r="B226" i="2"/>
  <c r="A226" i="2"/>
  <c r="N225" i="2"/>
  <c r="M225" i="2"/>
  <c r="K225" i="2"/>
  <c r="I225" i="2"/>
  <c r="H225" i="2"/>
  <c r="G225" i="2"/>
  <c r="F225" i="2"/>
  <c r="E225" i="2"/>
  <c r="D225" i="2"/>
  <c r="C225" i="2"/>
  <c r="B225" i="2"/>
  <c r="A225" i="2"/>
  <c r="N224" i="2"/>
  <c r="M224" i="2"/>
  <c r="K224" i="2"/>
  <c r="I224" i="2"/>
  <c r="H224" i="2"/>
  <c r="G224" i="2"/>
  <c r="F224" i="2"/>
  <c r="E224" i="2"/>
  <c r="D224" i="2"/>
  <c r="C224" i="2"/>
  <c r="B224" i="2"/>
  <c r="A224" i="2"/>
  <c r="N223" i="2"/>
  <c r="M223" i="2"/>
  <c r="K223" i="2"/>
  <c r="I223" i="2"/>
  <c r="H223" i="2"/>
  <c r="G223" i="2"/>
  <c r="F223" i="2"/>
  <c r="E223" i="2"/>
  <c r="D223" i="2"/>
  <c r="C223" i="2"/>
  <c r="B223" i="2"/>
  <c r="A223" i="2"/>
  <c r="N222" i="2"/>
  <c r="M222" i="2"/>
  <c r="K222" i="2"/>
  <c r="I222" i="2"/>
  <c r="H222" i="2"/>
  <c r="G222" i="2"/>
  <c r="F222" i="2"/>
  <c r="E222" i="2"/>
  <c r="D222" i="2"/>
  <c r="C222" i="2"/>
  <c r="B222" i="2"/>
  <c r="A222" i="2"/>
  <c r="N221" i="2"/>
  <c r="M221" i="2"/>
  <c r="L221" i="2"/>
  <c r="K221" i="2"/>
  <c r="I221" i="2"/>
  <c r="H221" i="2"/>
  <c r="G221" i="2"/>
  <c r="F221" i="2"/>
  <c r="E221" i="2"/>
  <c r="D221" i="2"/>
  <c r="C221" i="2"/>
  <c r="B221" i="2"/>
  <c r="A221" i="2"/>
  <c r="N220" i="2"/>
  <c r="M220" i="2"/>
  <c r="K220" i="2"/>
  <c r="I220" i="2"/>
  <c r="H220" i="2"/>
  <c r="G220" i="2"/>
  <c r="F220" i="2"/>
  <c r="E220" i="2"/>
  <c r="D220" i="2"/>
  <c r="C220" i="2"/>
  <c r="B220" i="2"/>
  <c r="A220" i="2"/>
  <c r="N219" i="2"/>
  <c r="M219" i="2"/>
  <c r="L219" i="2"/>
  <c r="K219" i="2"/>
  <c r="I219" i="2"/>
  <c r="H219" i="2"/>
  <c r="G219" i="2"/>
  <c r="F219" i="2"/>
  <c r="E219" i="2"/>
  <c r="D219" i="2"/>
  <c r="C219" i="2"/>
  <c r="B219" i="2"/>
  <c r="A219" i="2"/>
  <c r="M218" i="2"/>
  <c r="L218" i="2"/>
  <c r="I218" i="2"/>
  <c r="H218" i="2"/>
  <c r="G218" i="2"/>
  <c r="F218" i="2"/>
  <c r="E218" i="2"/>
  <c r="D218" i="2"/>
  <c r="C218" i="2"/>
  <c r="B218" i="2"/>
  <c r="N217" i="2"/>
  <c r="M217" i="2"/>
  <c r="K217" i="2"/>
  <c r="I217" i="2"/>
  <c r="H217" i="2"/>
  <c r="G217" i="2"/>
  <c r="F217" i="2"/>
  <c r="E217" i="2"/>
  <c r="D217" i="2"/>
  <c r="C217" i="2"/>
  <c r="B217" i="2"/>
  <c r="A217" i="2"/>
  <c r="N216" i="2"/>
  <c r="M216" i="2"/>
  <c r="L216" i="2"/>
  <c r="K216" i="2"/>
  <c r="I216" i="2"/>
  <c r="H216" i="2"/>
  <c r="G216" i="2"/>
  <c r="F216" i="2"/>
  <c r="E216" i="2"/>
  <c r="D216" i="2"/>
  <c r="C216" i="2"/>
  <c r="B216" i="2"/>
  <c r="A216" i="2"/>
  <c r="N215" i="2"/>
  <c r="M215" i="2"/>
  <c r="K215" i="2"/>
  <c r="I215" i="2"/>
  <c r="H215" i="2"/>
  <c r="G215" i="2"/>
  <c r="F215" i="2"/>
  <c r="E215" i="2"/>
  <c r="D215" i="2"/>
  <c r="C215" i="2"/>
  <c r="B215" i="2"/>
  <c r="A215" i="2"/>
  <c r="N214" i="2"/>
  <c r="M214" i="2"/>
  <c r="L214" i="2"/>
  <c r="K214" i="2"/>
  <c r="I214" i="2"/>
  <c r="H214" i="2"/>
  <c r="G214" i="2"/>
  <c r="F214" i="2"/>
  <c r="E214" i="2"/>
  <c r="D214" i="2"/>
  <c r="C214" i="2"/>
  <c r="B214" i="2"/>
  <c r="A214" i="2"/>
  <c r="N213" i="2"/>
  <c r="M213" i="2"/>
  <c r="K213" i="2"/>
  <c r="I213" i="2"/>
  <c r="H213" i="2"/>
  <c r="G213" i="2"/>
  <c r="F213" i="2"/>
  <c r="E213" i="2"/>
  <c r="D213" i="2"/>
  <c r="C213" i="2"/>
  <c r="B213" i="2"/>
  <c r="A213" i="2"/>
  <c r="N212" i="2"/>
  <c r="M212" i="2"/>
  <c r="L212" i="2"/>
  <c r="K212" i="2"/>
  <c r="I212" i="2"/>
  <c r="H212" i="2"/>
  <c r="G212" i="2"/>
  <c r="F212" i="2"/>
  <c r="E212" i="2"/>
  <c r="D212" i="2"/>
  <c r="C212" i="2"/>
  <c r="B212" i="2"/>
  <c r="A212" i="2"/>
  <c r="N211" i="2"/>
  <c r="M211" i="2"/>
  <c r="L211" i="2"/>
  <c r="K211" i="2"/>
  <c r="I211" i="2"/>
  <c r="H211" i="2"/>
  <c r="G211" i="2"/>
  <c r="F211" i="2"/>
  <c r="E211" i="2"/>
  <c r="D211" i="2"/>
  <c r="C211" i="2"/>
  <c r="B211" i="2"/>
  <c r="A211" i="2"/>
  <c r="A210" i="2"/>
  <c r="N209" i="2"/>
  <c r="M209" i="2"/>
  <c r="K209" i="2"/>
  <c r="I209" i="2"/>
  <c r="H209" i="2"/>
  <c r="G209" i="2"/>
  <c r="F209" i="2"/>
  <c r="E209" i="2"/>
  <c r="D209" i="2"/>
  <c r="C209" i="2"/>
  <c r="B209" i="2"/>
  <c r="A209" i="2"/>
  <c r="N208" i="2"/>
  <c r="M208" i="2"/>
  <c r="I208" i="2"/>
  <c r="H208" i="2"/>
  <c r="G208" i="2"/>
  <c r="F208" i="2"/>
  <c r="E208" i="2"/>
  <c r="D208" i="2"/>
  <c r="C208" i="2"/>
  <c r="B208" i="2"/>
  <c r="A208" i="2"/>
  <c r="N207" i="2"/>
  <c r="M207" i="2"/>
  <c r="L207" i="2"/>
  <c r="K207" i="2"/>
  <c r="I207" i="2"/>
  <c r="H207" i="2"/>
  <c r="G207" i="2"/>
  <c r="F207" i="2"/>
  <c r="E207" i="2"/>
  <c r="D207" i="2"/>
  <c r="C207" i="2"/>
  <c r="B207" i="2"/>
  <c r="A207" i="2"/>
  <c r="N206" i="2"/>
  <c r="M206" i="2"/>
  <c r="K206" i="2"/>
  <c r="I206" i="2"/>
  <c r="H206" i="2"/>
  <c r="G206" i="2"/>
  <c r="F206" i="2"/>
  <c r="E206" i="2"/>
  <c r="D206" i="2"/>
  <c r="C206" i="2"/>
  <c r="B206" i="2"/>
  <c r="A206" i="2"/>
  <c r="N205" i="2"/>
  <c r="M205" i="2"/>
  <c r="I205" i="2"/>
  <c r="H205" i="2"/>
  <c r="G205" i="2"/>
  <c r="F205" i="2"/>
  <c r="E205" i="2"/>
  <c r="D205" i="2"/>
  <c r="C205" i="2"/>
  <c r="B205" i="2"/>
  <c r="N204" i="2"/>
  <c r="M204" i="2"/>
  <c r="K204" i="2"/>
  <c r="I204" i="2"/>
  <c r="H204" i="2"/>
  <c r="G204" i="2"/>
  <c r="F204" i="2"/>
  <c r="E204" i="2"/>
  <c r="D204" i="2"/>
  <c r="C204" i="2"/>
  <c r="B204" i="2"/>
  <c r="A204" i="2"/>
  <c r="N203" i="2"/>
  <c r="M203" i="2"/>
  <c r="K203" i="2"/>
  <c r="I203" i="2"/>
  <c r="H203" i="2"/>
  <c r="G203" i="2"/>
  <c r="F203" i="2"/>
  <c r="E203" i="2"/>
  <c r="D203" i="2"/>
  <c r="C203" i="2"/>
  <c r="B203" i="2"/>
  <c r="A203" i="2"/>
  <c r="N202" i="2"/>
  <c r="M202" i="2"/>
  <c r="L202" i="2"/>
  <c r="K202" i="2"/>
  <c r="I202" i="2"/>
  <c r="H202" i="2"/>
  <c r="G202" i="2"/>
  <c r="F202" i="2"/>
  <c r="E202" i="2"/>
  <c r="C202" i="2"/>
  <c r="B202" i="2"/>
  <c r="A202" i="2"/>
  <c r="N201" i="2"/>
  <c r="M201" i="2"/>
  <c r="K201" i="2"/>
  <c r="I201" i="2"/>
  <c r="H201" i="2"/>
  <c r="G201" i="2"/>
  <c r="F201" i="2"/>
  <c r="E201" i="2"/>
  <c r="D201" i="2"/>
  <c r="C201" i="2"/>
  <c r="B201" i="2"/>
  <c r="A201" i="2"/>
  <c r="N200" i="2"/>
  <c r="M200" i="2"/>
  <c r="L200" i="2"/>
  <c r="K200" i="2"/>
  <c r="I200" i="2"/>
  <c r="H200" i="2"/>
  <c r="G200" i="2"/>
  <c r="F200" i="2"/>
  <c r="E200" i="2"/>
  <c r="C200" i="2"/>
  <c r="B200" i="2"/>
  <c r="A200" i="2"/>
  <c r="N199" i="2"/>
  <c r="M199" i="2"/>
  <c r="K199" i="2"/>
  <c r="I199" i="2"/>
  <c r="H199" i="2"/>
  <c r="G199" i="2"/>
  <c r="F199" i="2"/>
  <c r="E199" i="2"/>
  <c r="D199" i="2"/>
  <c r="C199" i="2"/>
  <c r="B199" i="2"/>
  <c r="A199" i="2"/>
  <c r="N198" i="2"/>
  <c r="M198" i="2"/>
  <c r="L198" i="2"/>
  <c r="K198" i="2"/>
  <c r="I198" i="2"/>
  <c r="H198" i="2"/>
  <c r="G198" i="2"/>
  <c r="F198" i="2"/>
  <c r="E198" i="2"/>
  <c r="D198" i="2"/>
  <c r="C198" i="2"/>
  <c r="B198" i="2"/>
  <c r="A198" i="2"/>
  <c r="N197" i="2"/>
  <c r="M197" i="2"/>
  <c r="K197" i="2"/>
  <c r="I197" i="2"/>
  <c r="H197" i="2"/>
  <c r="G197" i="2"/>
  <c r="F197" i="2"/>
  <c r="E197" i="2"/>
  <c r="D197" i="2"/>
  <c r="C197" i="2"/>
  <c r="B197" i="2"/>
  <c r="A197" i="2"/>
  <c r="N196" i="2"/>
  <c r="M196" i="2"/>
  <c r="L196" i="2"/>
  <c r="K196" i="2"/>
  <c r="I196" i="2"/>
  <c r="H196" i="2"/>
  <c r="G196" i="2"/>
  <c r="F196" i="2"/>
  <c r="E196" i="2"/>
  <c r="D196" i="2"/>
  <c r="C196" i="2"/>
  <c r="B196" i="2"/>
  <c r="A196" i="2"/>
  <c r="N195" i="2"/>
  <c r="M195" i="2"/>
  <c r="K195" i="2"/>
  <c r="I195" i="2"/>
  <c r="H195" i="2"/>
  <c r="G195" i="2"/>
  <c r="F195" i="2"/>
  <c r="E195" i="2"/>
  <c r="D195" i="2"/>
  <c r="C195" i="2"/>
  <c r="B195" i="2"/>
  <c r="A195" i="2"/>
  <c r="N194" i="2"/>
  <c r="M194" i="2"/>
  <c r="L194" i="2"/>
  <c r="K194" i="2"/>
  <c r="I194" i="2"/>
  <c r="H194" i="2"/>
  <c r="G194" i="2"/>
  <c r="F194" i="2"/>
  <c r="E194" i="2"/>
  <c r="D194" i="2"/>
  <c r="C194" i="2"/>
  <c r="B194" i="2"/>
  <c r="A194" i="2"/>
  <c r="N193" i="2"/>
  <c r="M193" i="2"/>
  <c r="L193" i="2"/>
  <c r="K193" i="2"/>
  <c r="I193" i="2"/>
  <c r="H193" i="2"/>
  <c r="G193" i="2"/>
  <c r="F193" i="2"/>
  <c r="E193" i="2"/>
  <c r="D193" i="2"/>
  <c r="C193" i="2"/>
  <c r="B193" i="2"/>
  <c r="A193" i="2"/>
  <c r="N192" i="2"/>
  <c r="M192" i="2"/>
  <c r="K192" i="2"/>
  <c r="I192" i="2"/>
  <c r="H192" i="2"/>
  <c r="G192" i="2"/>
  <c r="F192" i="2"/>
  <c r="E192" i="2"/>
  <c r="D192" i="2"/>
  <c r="C192" i="2"/>
  <c r="B192" i="2"/>
  <c r="A192" i="2"/>
  <c r="N191" i="2"/>
  <c r="M191" i="2"/>
  <c r="L191" i="2"/>
  <c r="K191" i="2"/>
  <c r="I191" i="2"/>
  <c r="H191" i="2"/>
  <c r="G191" i="2"/>
  <c r="F191" i="2"/>
  <c r="E191" i="2"/>
  <c r="D191" i="2"/>
  <c r="C191" i="2"/>
  <c r="B191" i="2"/>
  <c r="A191" i="2"/>
  <c r="N190" i="2"/>
  <c r="M190" i="2"/>
  <c r="K190" i="2"/>
  <c r="I190" i="2"/>
  <c r="H190" i="2"/>
  <c r="G190" i="2"/>
  <c r="F190" i="2"/>
  <c r="E190" i="2"/>
  <c r="D190" i="2"/>
  <c r="C190" i="2"/>
  <c r="B190" i="2"/>
  <c r="A190" i="2"/>
  <c r="N189" i="2"/>
  <c r="M189" i="2"/>
  <c r="K189" i="2"/>
  <c r="I189" i="2"/>
  <c r="H189" i="2"/>
  <c r="G189" i="2"/>
  <c r="F189" i="2"/>
  <c r="E189" i="2"/>
  <c r="D189" i="2"/>
  <c r="C189" i="2"/>
  <c r="B189" i="2"/>
  <c r="A189" i="2"/>
  <c r="N188" i="2"/>
  <c r="M188" i="2"/>
  <c r="K188" i="2"/>
  <c r="I188" i="2"/>
  <c r="H188" i="2"/>
  <c r="G188" i="2"/>
  <c r="F188" i="2"/>
  <c r="E188" i="2"/>
  <c r="D188" i="2"/>
  <c r="C188" i="2"/>
  <c r="B188" i="2"/>
  <c r="A188" i="2"/>
  <c r="N187" i="2"/>
  <c r="M187" i="2"/>
  <c r="K187" i="2"/>
  <c r="I187" i="2"/>
  <c r="H187" i="2"/>
  <c r="G187" i="2"/>
  <c r="F187" i="2"/>
  <c r="E187" i="2"/>
  <c r="C187" i="2"/>
  <c r="B187" i="2"/>
  <c r="A187" i="2"/>
  <c r="N186" i="2"/>
  <c r="M186" i="2"/>
  <c r="K186" i="2"/>
  <c r="I186" i="2"/>
  <c r="H186" i="2"/>
  <c r="G186" i="2"/>
  <c r="F186" i="2"/>
  <c r="E186" i="2"/>
  <c r="D186" i="2"/>
  <c r="C186" i="2"/>
  <c r="B186" i="2"/>
  <c r="A186" i="2"/>
  <c r="N185" i="2"/>
  <c r="M185" i="2"/>
  <c r="K185" i="2"/>
  <c r="I185" i="2"/>
  <c r="H185" i="2"/>
  <c r="G185" i="2"/>
  <c r="F185" i="2"/>
  <c r="E185" i="2"/>
  <c r="D185" i="2"/>
  <c r="C185" i="2"/>
  <c r="B185" i="2"/>
  <c r="A185" i="2"/>
  <c r="N184" i="2"/>
  <c r="M184" i="2"/>
  <c r="K184" i="2"/>
  <c r="I184" i="2"/>
  <c r="H184" i="2"/>
  <c r="G184" i="2"/>
  <c r="F184" i="2"/>
  <c r="E184" i="2"/>
  <c r="D184" i="2"/>
  <c r="C184" i="2"/>
  <c r="B184" i="2"/>
  <c r="A184" i="2"/>
  <c r="N183" i="2"/>
  <c r="M183" i="2"/>
  <c r="K183" i="2"/>
  <c r="I183" i="2"/>
  <c r="H183" i="2"/>
  <c r="G183" i="2"/>
  <c r="F183" i="2"/>
  <c r="E183" i="2"/>
  <c r="D183" i="2"/>
  <c r="C183" i="2"/>
  <c r="B183" i="2"/>
  <c r="A183" i="2"/>
  <c r="N182" i="2"/>
  <c r="M182" i="2"/>
  <c r="K182" i="2"/>
  <c r="I182" i="2"/>
  <c r="H182" i="2"/>
  <c r="G182" i="2"/>
  <c r="F182" i="2"/>
  <c r="E182" i="2"/>
  <c r="C182" i="2"/>
  <c r="B182" i="2"/>
  <c r="A182" i="2"/>
  <c r="N181" i="2"/>
  <c r="M181" i="2"/>
  <c r="L181" i="2"/>
  <c r="K181" i="2"/>
  <c r="I181" i="2"/>
  <c r="H181" i="2"/>
  <c r="G181" i="2"/>
  <c r="F181" i="2"/>
  <c r="E181" i="2"/>
  <c r="D181" i="2"/>
  <c r="C181" i="2"/>
  <c r="B181" i="2"/>
  <c r="A181" i="2"/>
  <c r="N180" i="2"/>
  <c r="M180" i="2"/>
  <c r="K180" i="2"/>
  <c r="I180" i="2"/>
  <c r="H180" i="2"/>
  <c r="G180" i="2"/>
  <c r="F180" i="2"/>
  <c r="E180" i="2"/>
  <c r="C180" i="2"/>
  <c r="B180" i="2"/>
  <c r="A180" i="2"/>
  <c r="N179" i="2"/>
  <c r="M179" i="2"/>
  <c r="K179" i="2"/>
  <c r="I179" i="2"/>
  <c r="H179" i="2"/>
  <c r="G179" i="2"/>
  <c r="F179" i="2"/>
  <c r="E179" i="2"/>
  <c r="D179" i="2"/>
  <c r="C179" i="2"/>
  <c r="B179" i="2"/>
  <c r="A179" i="2"/>
  <c r="N178" i="2"/>
  <c r="M178" i="2"/>
  <c r="K178" i="2"/>
  <c r="I178" i="2"/>
  <c r="H178" i="2"/>
  <c r="G178" i="2"/>
  <c r="F178" i="2"/>
  <c r="E178" i="2"/>
  <c r="D178" i="2"/>
  <c r="C178" i="2"/>
  <c r="B178" i="2"/>
  <c r="A178" i="2"/>
  <c r="N177" i="2"/>
  <c r="M177" i="2"/>
  <c r="K177" i="2"/>
  <c r="I177" i="2"/>
  <c r="H177" i="2"/>
  <c r="G177" i="2"/>
  <c r="F177" i="2"/>
  <c r="E177" i="2"/>
  <c r="D177" i="2"/>
  <c r="C177" i="2"/>
  <c r="B177" i="2"/>
  <c r="A177" i="2"/>
  <c r="N176" i="2"/>
  <c r="M176" i="2"/>
  <c r="L176" i="2"/>
  <c r="K176" i="2"/>
  <c r="I176" i="2"/>
  <c r="H176" i="2"/>
  <c r="G176" i="2"/>
  <c r="F176" i="2"/>
  <c r="E176" i="2"/>
  <c r="C176" i="2"/>
  <c r="B176" i="2"/>
  <c r="A176" i="2"/>
  <c r="N175" i="2"/>
  <c r="M175" i="2"/>
  <c r="K175" i="2"/>
  <c r="I175" i="2"/>
  <c r="H175" i="2"/>
  <c r="G175" i="2"/>
  <c r="F175" i="2"/>
  <c r="E175" i="2"/>
  <c r="D175" i="2"/>
  <c r="C175" i="2"/>
  <c r="B175" i="2"/>
  <c r="A175" i="2"/>
  <c r="N174" i="2"/>
  <c r="M174" i="2"/>
  <c r="K174" i="2"/>
  <c r="I174" i="2"/>
  <c r="H174" i="2"/>
  <c r="G174" i="2"/>
  <c r="F174" i="2"/>
  <c r="E174" i="2"/>
  <c r="D174" i="2"/>
  <c r="C174" i="2"/>
  <c r="B174" i="2"/>
  <c r="A174" i="2"/>
  <c r="N173" i="2"/>
  <c r="M173" i="2"/>
  <c r="L173" i="2"/>
  <c r="K173" i="2"/>
  <c r="I173" i="2"/>
  <c r="H173" i="2"/>
  <c r="G173" i="2"/>
  <c r="F173" i="2"/>
  <c r="E173" i="2"/>
  <c r="D173" i="2"/>
  <c r="C173" i="2"/>
  <c r="B173" i="2"/>
  <c r="A173" i="2"/>
  <c r="N172" i="2"/>
  <c r="M172" i="2"/>
  <c r="K172" i="2"/>
  <c r="I172" i="2"/>
  <c r="H172" i="2"/>
  <c r="G172" i="2"/>
  <c r="F172" i="2"/>
  <c r="E172" i="2"/>
  <c r="D172" i="2"/>
  <c r="B172" i="2"/>
  <c r="A172" i="2"/>
  <c r="N171" i="2"/>
  <c r="M171" i="2"/>
  <c r="K171" i="2"/>
  <c r="I171" i="2"/>
  <c r="H171" i="2"/>
  <c r="G171" i="2"/>
  <c r="F171" i="2"/>
  <c r="E171" i="2"/>
  <c r="D171" i="2"/>
  <c r="C171" i="2"/>
  <c r="B171" i="2"/>
  <c r="A171" i="2"/>
  <c r="M170" i="2"/>
  <c r="I170" i="2"/>
  <c r="H170" i="2"/>
  <c r="G170" i="2"/>
  <c r="F170" i="2"/>
  <c r="E170" i="2"/>
  <c r="D170" i="2"/>
  <c r="C170" i="2"/>
  <c r="B170" i="2"/>
  <c r="N169" i="2"/>
  <c r="M169" i="2"/>
  <c r="K169" i="2"/>
  <c r="I169" i="2"/>
  <c r="H169" i="2"/>
  <c r="G169" i="2"/>
  <c r="F169" i="2"/>
  <c r="E169" i="2"/>
  <c r="D169" i="2"/>
  <c r="C169" i="2"/>
  <c r="B169" i="2"/>
  <c r="A169" i="2"/>
  <c r="N168" i="2"/>
  <c r="M168" i="2"/>
  <c r="L168" i="2"/>
  <c r="K168" i="2"/>
  <c r="I168" i="2"/>
  <c r="H168" i="2"/>
  <c r="G168" i="2"/>
  <c r="F168" i="2"/>
  <c r="E168" i="2"/>
  <c r="D168" i="2"/>
  <c r="C168" i="2"/>
  <c r="B168" i="2"/>
  <c r="A168" i="2"/>
  <c r="N167" i="2"/>
  <c r="M167" i="2"/>
  <c r="L167" i="2"/>
  <c r="K167" i="2"/>
  <c r="I167" i="2"/>
  <c r="H167" i="2"/>
  <c r="G167" i="2"/>
  <c r="F167" i="2"/>
  <c r="E167" i="2"/>
  <c r="D167" i="2"/>
  <c r="C167" i="2"/>
  <c r="B167" i="2"/>
  <c r="A167" i="2"/>
  <c r="N166" i="2"/>
  <c r="M166" i="2"/>
  <c r="L166" i="2"/>
  <c r="K166" i="2"/>
  <c r="I166" i="2"/>
  <c r="H166" i="2"/>
  <c r="G166" i="2"/>
  <c r="F166" i="2"/>
  <c r="E166" i="2"/>
  <c r="D166" i="2"/>
  <c r="C166" i="2"/>
  <c r="B166" i="2"/>
  <c r="A166" i="2"/>
  <c r="N165" i="2"/>
  <c r="M165" i="2"/>
  <c r="K165" i="2"/>
  <c r="I165" i="2"/>
  <c r="H165" i="2"/>
  <c r="G165" i="2"/>
  <c r="F165" i="2"/>
  <c r="E165" i="2"/>
  <c r="D165" i="2"/>
  <c r="C165" i="2"/>
  <c r="B165" i="2"/>
  <c r="A165" i="2"/>
  <c r="N164" i="2"/>
  <c r="M164" i="2"/>
  <c r="K164" i="2"/>
  <c r="I164" i="2"/>
  <c r="H164" i="2"/>
  <c r="G164" i="2"/>
  <c r="F164" i="2"/>
  <c r="E164" i="2"/>
  <c r="C164" i="2"/>
  <c r="B164" i="2"/>
  <c r="A164" i="2"/>
  <c r="N163" i="2"/>
  <c r="M163" i="2"/>
  <c r="L163" i="2"/>
  <c r="K163" i="2"/>
  <c r="I163" i="2"/>
  <c r="H163" i="2"/>
  <c r="G163" i="2"/>
  <c r="F163" i="2"/>
  <c r="E163" i="2"/>
  <c r="C163" i="2"/>
  <c r="B163" i="2"/>
  <c r="A163" i="2"/>
  <c r="M162" i="2"/>
  <c r="L162" i="2"/>
  <c r="K162" i="2"/>
  <c r="I162" i="2"/>
  <c r="H162" i="2"/>
  <c r="G162" i="2"/>
  <c r="F162" i="2"/>
  <c r="E162" i="2"/>
  <c r="D162" i="2"/>
  <c r="C162" i="2"/>
  <c r="B162" i="2"/>
  <c r="N161" i="2"/>
  <c r="M161" i="2"/>
  <c r="K161" i="2"/>
  <c r="I161" i="2"/>
  <c r="H161" i="2"/>
  <c r="G161" i="2"/>
  <c r="F161" i="2"/>
  <c r="E161" i="2"/>
  <c r="D161" i="2"/>
  <c r="C161" i="2"/>
  <c r="B161" i="2"/>
  <c r="A161" i="2"/>
  <c r="N160" i="2"/>
  <c r="M160" i="2"/>
  <c r="K160" i="2"/>
  <c r="I160" i="2"/>
  <c r="H160" i="2"/>
  <c r="G160" i="2"/>
  <c r="F160" i="2"/>
  <c r="E160" i="2"/>
  <c r="D160" i="2"/>
  <c r="C160" i="2"/>
  <c r="B160" i="2"/>
  <c r="A160" i="2"/>
  <c r="N159" i="2"/>
  <c r="M159" i="2"/>
  <c r="K159" i="2"/>
  <c r="I159" i="2"/>
  <c r="H159" i="2"/>
  <c r="G159" i="2"/>
  <c r="F159" i="2"/>
  <c r="E159" i="2"/>
  <c r="D159" i="2"/>
  <c r="C159" i="2"/>
  <c r="B159" i="2"/>
  <c r="A159" i="2"/>
  <c r="M158" i="2"/>
  <c r="K158" i="2"/>
  <c r="I158" i="2"/>
  <c r="H158" i="2"/>
  <c r="G158" i="2"/>
  <c r="F158" i="2"/>
  <c r="E158" i="2"/>
  <c r="C158" i="2"/>
  <c r="B158" i="2"/>
  <c r="N157" i="2"/>
  <c r="M157" i="2"/>
  <c r="K157" i="2"/>
  <c r="I157" i="2"/>
  <c r="H157" i="2"/>
  <c r="G157" i="2"/>
  <c r="F157" i="2"/>
  <c r="E157" i="2"/>
  <c r="D157" i="2"/>
  <c r="C157" i="2"/>
  <c r="B157" i="2"/>
  <c r="A157" i="2"/>
  <c r="N156" i="2"/>
  <c r="M156" i="2"/>
  <c r="K156" i="2"/>
  <c r="I156" i="2"/>
  <c r="H156" i="2"/>
  <c r="G156" i="2"/>
  <c r="F156" i="2"/>
  <c r="E156" i="2"/>
  <c r="D156" i="2"/>
  <c r="C156" i="2"/>
  <c r="B156" i="2"/>
  <c r="A156" i="2"/>
  <c r="N155" i="2"/>
  <c r="M155" i="2"/>
  <c r="I155" i="2"/>
  <c r="H155" i="2"/>
  <c r="G155" i="2"/>
  <c r="F155" i="2"/>
  <c r="E155" i="2"/>
  <c r="D155" i="2"/>
  <c r="C155" i="2"/>
  <c r="B155" i="2"/>
  <c r="A155" i="2"/>
  <c r="N154" i="2"/>
  <c r="M154" i="2"/>
  <c r="I154" i="2"/>
  <c r="H154" i="2"/>
  <c r="G154" i="2"/>
  <c r="F154" i="2"/>
  <c r="E154" i="2"/>
  <c r="C154" i="2"/>
  <c r="B154" i="2"/>
  <c r="A154" i="2"/>
  <c r="N153" i="2"/>
  <c r="M153" i="2"/>
  <c r="K153" i="2"/>
  <c r="I153" i="2"/>
  <c r="H153" i="2"/>
  <c r="G153" i="2"/>
  <c r="F153" i="2"/>
  <c r="E153" i="2"/>
  <c r="D153" i="2"/>
  <c r="C153" i="2"/>
  <c r="B153" i="2"/>
  <c r="A153" i="2"/>
  <c r="N152" i="2"/>
  <c r="M152" i="2"/>
  <c r="K152" i="2"/>
  <c r="I152" i="2"/>
  <c r="H152" i="2"/>
  <c r="G152" i="2"/>
  <c r="F152" i="2"/>
  <c r="E152" i="2"/>
  <c r="D152" i="2"/>
  <c r="C152" i="2"/>
  <c r="B152" i="2"/>
  <c r="A152" i="2"/>
  <c r="N151" i="2"/>
  <c r="M151" i="2"/>
  <c r="K151" i="2"/>
  <c r="I151" i="2"/>
  <c r="H151" i="2"/>
  <c r="G151" i="2"/>
  <c r="F151" i="2"/>
  <c r="E151" i="2"/>
  <c r="D151" i="2"/>
  <c r="C151" i="2"/>
  <c r="B151" i="2"/>
  <c r="A151" i="2"/>
  <c r="N150" i="2"/>
  <c r="M150" i="2"/>
  <c r="K150" i="2"/>
  <c r="I150" i="2"/>
  <c r="H150" i="2"/>
  <c r="G150" i="2"/>
  <c r="F150" i="2"/>
  <c r="E150" i="2"/>
  <c r="D150" i="2"/>
  <c r="C150" i="2"/>
  <c r="B150" i="2"/>
  <c r="A150" i="2"/>
  <c r="N149" i="2"/>
  <c r="M149" i="2"/>
  <c r="L149" i="2"/>
  <c r="K149" i="2"/>
  <c r="I149" i="2"/>
  <c r="H149" i="2"/>
  <c r="G149" i="2"/>
  <c r="F149" i="2"/>
  <c r="E149" i="2"/>
  <c r="D149" i="2"/>
  <c r="C149" i="2"/>
  <c r="B149" i="2"/>
  <c r="A149" i="2"/>
  <c r="N148" i="2"/>
  <c r="M148" i="2"/>
  <c r="K148" i="2"/>
  <c r="I148" i="2"/>
  <c r="H148" i="2"/>
  <c r="G148" i="2"/>
  <c r="F148" i="2"/>
  <c r="E148" i="2"/>
  <c r="D148" i="2"/>
  <c r="C148" i="2"/>
  <c r="B148" i="2"/>
  <c r="A148" i="2"/>
  <c r="N147" i="2"/>
  <c r="K147" i="2"/>
  <c r="I147" i="2"/>
  <c r="H147" i="2"/>
  <c r="G147" i="2"/>
  <c r="F147" i="2"/>
  <c r="E147" i="2"/>
  <c r="D147" i="2"/>
  <c r="C147" i="2"/>
  <c r="B147" i="2"/>
  <c r="A147" i="2"/>
  <c r="N146" i="2"/>
  <c r="M146" i="2"/>
  <c r="K146" i="2"/>
  <c r="I146" i="2"/>
  <c r="H146" i="2"/>
  <c r="G146" i="2"/>
  <c r="F146" i="2"/>
  <c r="E146" i="2"/>
  <c r="C146" i="2"/>
  <c r="B146" i="2"/>
  <c r="A146" i="2"/>
  <c r="N145" i="2"/>
  <c r="M145" i="2"/>
  <c r="K145" i="2"/>
  <c r="I145" i="2"/>
  <c r="H145" i="2"/>
  <c r="G145" i="2"/>
  <c r="F145" i="2"/>
  <c r="E145" i="2"/>
  <c r="D145" i="2"/>
  <c r="C145" i="2"/>
  <c r="B145" i="2"/>
  <c r="A145" i="2"/>
  <c r="N144" i="2"/>
  <c r="M144" i="2"/>
  <c r="K144" i="2"/>
  <c r="I144" i="2"/>
  <c r="H144" i="2"/>
  <c r="G144" i="2"/>
  <c r="F144" i="2"/>
  <c r="E144" i="2"/>
  <c r="D144" i="2"/>
  <c r="C144" i="2"/>
  <c r="B144" i="2"/>
  <c r="A144" i="2"/>
  <c r="N143" i="2"/>
  <c r="M143" i="2"/>
  <c r="K143" i="2"/>
  <c r="I143" i="2"/>
  <c r="H143" i="2"/>
  <c r="G143" i="2"/>
  <c r="F143" i="2"/>
  <c r="E143" i="2"/>
  <c r="D143" i="2"/>
  <c r="C143" i="2"/>
  <c r="B143" i="2"/>
  <c r="A143" i="2"/>
  <c r="N142" i="2"/>
  <c r="M142" i="2"/>
  <c r="K142" i="2"/>
  <c r="I142" i="2"/>
  <c r="H142" i="2"/>
  <c r="G142" i="2"/>
  <c r="F142" i="2"/>
  <c r="E142" i="2"/>
  <c r="D142" i="2"/>
  <c r="C142" i="2"/>
  <c r="B142" i="2"/>
  <c r="A142" i="2"/>
  <c r="N141" i="2"/>
  <c r="M141" i="2"/>
  <c r="L141" i="2"/>
  <c r="K141" i="2"/>
  <c r="I141" i="2"/>
  <c r="H141" i="2"/>
  <c r="G141" i="2"/>
  <c r="F141" i="2"/>
  <c r="E141" i="2"/>
  <c r="C141" i="2"/>
  <c r="B141" i="2"/>
  <c r="A141" i="2"/>
  <c r="N140" i="2"/>
  <c r="M140" i="2"/>
  <c r="L140" i="2"/>
  <c r="K140" i="2"/>
  <c r="I140" i="2"/>
  <c r="H140" i="2"/>
  <c r="G140" i="2"/>
  <c r="F140" i="2"/>
  <c r="E140" i="2"/>
  <c r="D140" i="2"/>
  <c r="C140" i="2"/>
  <c r="B140" i="2"/>
  <c r="A140" i="2"/>
  <c r="N139" i="2"/>
  <c r="M139" i="2"/>
  <c r="K139" i="2"/>
  <c r="I139" i="2"/>
  <c r="H139" i="2"/>
  <c r="G139" i="2"/>
  <c r="F139" i="2"/>
  <c r="E139" i="2"/>
  <c r="D139" i="2"/>
  <c r="C139" i="2"/>
  <c r="B139" i="2"/>
  <c r="A139" i="2"/>
  <c r="N138" i="2"/>
  <c r="K138" i="2"/>
  <c r="I138" i="2"/>
  <c r="H138" i="2"/>
  <c r="G138" i="2"/>
  <c r="F138" i="2"/>
  <c r="E138" i="2"/>
  <c r="D138" i="2"/>
  <c r="C138" i="2"/>
  <c r="B138" i="2"/>
  <c r="A138" i="2"/>
  <c r="N137" i="2"/>
  <c r="M137" i="2"/>
  <c r="K137" i="2"/>
  <c r="I137" i="2"/>
  <c r="H137" i="2"/>
  <c r="G137" i="2"/>
  <c r="F137" i="2"/>
  <c r="E137" i="2"/>
  <c r="D137" i="2"/>
  <c r="C137" i="2"/>
  <c r="B137" i="2"/>
  <c r="A137" i="2"/>
  <c r="N136" i="2"/>
  <c r="M136" i="2"/>
  <c r="K136" i="2"/>
  <c r="I136" i="2"/>
  <c r="H136" i="2"/>
  <c r="G136" i="2"/>
  <c r="F136" i="2"/>
  <c r="E136" i="2"/>
  <c r="D136" i="2"/>
  <c r="C136" i="2"/>
  <c r="B136" i="2"/>
  <c r="A136" i="2"/>
  <c r="N135" i="2"/>
  <c r="M135" i="2"/>
  <c r="L135" i="2"/>
  <c r="K135" i="2"/>
  <c r="I135" i="2"/>
  <c r="H135" i="2"/>
  <c r="G135" i="2"/>
  <c r="F135" i="2"/>
  <c r="E135" i="2"/>
  <c r="D135" i="2"/>
  <c r="C135" i="2"/>
  <c r="B135" i="2"/>
  <c r="A135" i="2"/>
  <c r="N134" i="2"/>
  <c r="M134" i="2"/>
  <c r="K134" i="2"/>
  <c r="I134" i="2"/>
  <c r="H134" i="2"/>
  <c r="G134" i="2"/>
  <c r="F134" i="2"/>
  <c r="E134" i="2"/>
  <c r="D134" i="2"/>
  <c r="C134" i="2"/>
  <c r="B134" i="2"/>
  <c r="A134" i="2"/>
  <c r="N133" i="2"/>
  <c r="M133" i="2"/>
  <c r="K133" i="2"/>
  <c r="I133" i="2"/>
  <c r="H133" i="2"/>
  <c r="G133" i="2"/>
  <c r="F133" i="2"/>
  <c r="E133" i="2"/>
  <c r="D133" i="2"/>
  <c r="C133" i="2"/>
  <c r="B133" i="2"/>
  <c r="A133" i="2"/>
  <c r="N132" i="2"/>
  <c r="L132" i="2"/>
  <c r="K132" i="2"/>
  <c r="I132" i="2"/>
  <c r="H132" i="2"/>
  <c r="G132" i="2"/>
  <c r="F132" i="2"/>
  <c r="E132" i="2"/>
  <c r="C132" i="2"/>
  <c r="B132" i="2"/>
  <c r="A132" i="2"/>
  <c r="N131" i="2"/>
  <c r="K131" i="2"/>
  <c r="I131" i="2"/>
  <c r="H131" i="2"/>
  <c r="G131" i="2"/>
  <c r="F131" i="2"/>
  <c r="E131" i="2"/>
  <c r="D131" i="2"/>
  <c r="C131" i="2"/>
  <c r="B131" i="2"/>
  <c r="A131" i="2"/>
  <c r="N130" i="2"/>
  <c r="M130" i="2"/>
  <c r="K130" i="2"/>
  <c r="I130" i="2"/>
  <c r="H130" i="2"/>
  <c r="G130" i="2"/>
  <c r="F130" i="2"/>
  <c r="E130" i="2"/>
  <c r="D130" i="2"/>
  <c r="C130" i="2"/>
  <c r="B130" i="2"/>
  <c r="A130" i="2"/>
  <c r="N129" i="2"/>
  <c r="M129" i="2"/>
  <c r="K129" i="2"/>
  <c r="I129" i="2"/>
  <c r="H129" i="2"/>
  <c r="G129" i="2"/>
  <c r="F129" i="2"/>
  <c r="E129" i="2"/>
  <c r="D129" i="2"/>
  <c r="C129" i="2"/>
  <c r="B129" i="2"/>
  <c r="A129" i="2"/>
  <c r="N128" i="2"/>
  <c r="M128" i="2"/>
  <c r="K128" i="2"/>
  <c r="I128" i="2"/>
  <c r="H128" i="2"/>
  <c r="G128" i="2"/>
  <c r="F128" i="2"/>
  <c r="E128" i="2"/>
  <c r="D128" i="2"/>
  <c r="C128" i="2"/>
  <c r="B128" i="2"/>
  <c r="A128" i="2"/>
  <c r="N127" i="2"/>
  <c r="M127" i="2"/>
  <c r="K127" i="2"/>
  <c r="I127" i="2"/>
  <c r="H127" i="2"/>
  <c r="G127" i="2"/>
  <c r="F127" i="2"/>
  <c r="E127" i="2"/>
  <c r="D127" i="2"/>
  <c r="C127" i="2"/>
  <c r="B127" i="2"/>
  <c r="A127" i="2"/>
  <c r="N126" i="2"/>
  <c r="M126" i="2"/>
  <c r="K126" i="2"/>
  <c r="I126" i="2"/>
  <c r="H126" i="2"/>
  <c r="G126" i="2"/>
  <c r="F126" i="2"/>
  <c r="E126" i="2"/>
  <c r="D126" i="2"/>
  <c r="C126" i="2"/>
  <c r="B126" i="2"/>
  <c r="A126" i="2"/>
  <c r="N125" i="2"/>
  <c r="M125" i="2"/>
  <c r="L125" i="2"/>
  <c r="K125" i="2"/>
  <c r="I125" i="2"/>
  <c r="H125" i="2"/>
  <c r="G125" i="2"/>
  <c r="F125" i="2"/>
  <c r="E125" i="2"/>
  <c r="D125" i="2"/>
  <c r="C125" i="2"/>
  <c r="B125" i="2"/>
  <c r="A125" i="2"/>
  <c r="N124" i="2"/>
  <c r="M124" i="2"/>
  <c r="L124" i="2"/>
  <c r="K124" i="2"/>
  <c r="I124" i="2"/>
  <c r="H124" i="2"/>
  <c r="G124" i="2"/>
  <c r="F124" i="2"/>
  <c r="E124" i="2"/>
  <c r="D124" i="2"/>
  <c r="C124" i="2"/>
  <c r="B124" i="2"/>
  <c r="A124" i="2"/>
  <c r="N123" i="2"/>
  <c r="M123" i="2"/>
  <c r="K123" i="2"/>
  <c r="I123" i="2"/>
  <c r="H123" i="2"/>
  <c r="G123" i="2"/>
  <c r="F123" i="2"/>
  <c r="E123" i="2"/>
  <c r="D123" i="2"/>
  <c r="C123" i="2"/>
  <c r="B123" i="2"/>
  <c r="A123" i="2"/>
  <c r="N122" i="2"/>
  <c r="M122" i="2"/>
  <c r="L122" i="2"/>
  <c r="K122" i="2"/>
  <c r="I122" i="2"/>
  <c r="H122" i="2"/>
  <c r="G122" i="2"/>
  <c r="F122" i="2"/>
  <c r="E122" i="2"/>
  <c r="C122" i="2"/>
  <c r="B122" i="2"/>
  <c r="A122" i="2"/>
  <c r="N121" i="2"/>
  <c r="M121" i="2"/>
  <c r="K121" i="2"/>
  <c r="I121" i="2"/>
  <c r="H121" i="2"/>
  <c r="G121" i="2"/>
  <c r="F121" i="2"/>
  <c r="E121" i="2"/>
  <c r="D121" i="2"/>
  <c r="C121" i="2"/>
  <c r="B121" i="2"/>
  <c r="A121" i="2"/>
  <c r="N120" i="2"/>
  <c r="M120" i="2"/>
  <c r="K120" i="2"/>
  <c r="I120" i="2"/>
  <c r="H120" i="2"/>
  <c r="G120" i="2"/>
  <c r="F120" i="2"/>
  <c r="E120" i="2"/>
  <c r="D120" i="2"/>
  <c r="C120" i="2"/>
  <c r="B120" i="2"/>
  <c r="A120" i="2"/>
  <c r="N119" i="2"/>
  <c r="M119" i="2"/>
  <c r="K119" i="2"/>
  <c r="H119" i="2"/>
  <c r="G119" i="2"/>
  <c r="F119" i="2"/>
  <c r="E119" i="2"/>
  <c r="D119" i="2"/>
  <c r="C119" i="2"/>
  <c r="B119" i="2"/>
  <c r="A119" i="2"/>
  <c r="N118" i="2"/>
  <c r="M118" i="2"/>
  <c r="K118" i="2"/>
  <c r="I118" i="2"/>
  <c r="H118" i="2"/>
  <c r="G118" i="2"/>
  <c r="F118" i="2"/>
  <c r="E118" i="2"/>
  <c r="D118" i="2"/>
  <c r="C118" i="2"/>
  <c r="B118" i="2"/>
  <c r="A118" i="2"/>
  <c r="N117" i="2"/>
  <c r="M117" i="2"/>
  <c r="L117" i="2"/>
  <c r="K117" i="2"/>
  <c r="I117" i="2"/>
  <c r="H117" i="2"/>
  <c r="G117" i="2"/>
  <c r="F117" i="2"/>
  <c r="E117" i="2"/>
  <c r="D117" i="2"/>
  <c r="C117" i="2"/>
  <c r="B117" i="2"/>
  <c r="A117" i="2"/>
  <c r="M116" i="2"/>
  <c r="I116" i="2"/>
  <c r="H116" i="2"/>
  <c r="G116" i="2"/>
  <c r="F116" i="2"/>
  <c r="C116" i="2"/>
  <c r="B116" i="2"/>
  <c r="N115" i="2"/>
  <c r="M115" i="2"/>
  <c r="L115" i="2"/>
  <c r="K115" i="2"/>
  <c r="I115" i="2"/>
  <c r="H115" i="2"/>
  <c r="G115" i="2"/>
  <c r="F115" i="2"/>
  <c r="E115" i="2"/>
  <c r="D115" i="2"/>
  <c r="C115" i="2"/>
  <c r="B115" i="2"/>
  <c r="A115" i="2"/>
  <c r="N114" i="2"/>
  <c r="M114" i="2"/>
  <c r="L114" i="2"/>
  <c r="I114" i="2"/>
  <c r="H114" i="2"/>
  <c r="G114" i="2"/>
  <c r="F114" i="2"/>
  <c r="E114" i="2"/>
  <c r="D114" i="2"/>
  <c r="C114" i="2"/>
  <c r="B114" i="2"/>
  <c r="N113" i="2"/>
  <c r="M113" i="2"/>
  <c r="K113" i="2"/>
  <c r="I113" i="2"/>
  <c r="H113" i="2"/>
  <c r="G113" i="2"/>
  <c r="F113" i="2"/>
  <c r="E113" i="2"/>
  <c r="D113" i="2"/>
  <c r="C113" i="2"/>
  <c r="B113" i="2"/>
  <c r="A113" i="2"/>
  <c r="N112" i="2"/>
  <c r="M112" i="2"/>
  <c r="K112" i="2"/>
  <c r="I112" i="2"/>
  <c r="H112" i="2"/>
  <c r="G112" i="2"/>
  <c r="F112" i="2"/>
  <c r="E112" i="2"/>
  <c r="D112" i="2"/>
  <c r="C112" i="2"/>
  <c r="B112" i="2"/>
  <c r="A112" i="2"/>
  <c r="N111" i="2"/>
  <c r="M111" i="2"/>
  <c r="L111" i="2"/>
  <c r="K111" i="2"/>
  <c r="I111" i="2"/>
  <c r="H111" i="2"/>
  <c r="G111" i="2"/>
  <c r="F111" i="2"/>
  <c r="E111" i="2"/>
  <c r="D111" i="2"/>
  <c r="C111" i="2"/>
  <c r="B111" i="2"/>
  <c r="A111" i="2"/>
  <c r="N110" i="2"/>
  <c r="M110" i="2"/>
  <c r="K110" i="2"/>
  <c r="I110" i="2"/>
  <c r="H110" i="2"/>
  <c r="G110" i="2"/>
  <c r="F110" i="2"/>
  <c r="E110" i="2"/>
  <c r="C110" i="2"/>
  <c r="B110" i="2"/>
  <c r="A110" i="2"/>
  <c r="N109" i="2"/>
  <c r="M109" i="2"/>
  <c r="L109" i="2"/>
  <c r="K109" i="2"/>
  <c r="I109" i="2"/>
  <c r="H109" i="2"/>
  <c r="G109" i="2"/>
  <c r="F109" i="2"/>
  <c r="E109" i="2"/>
  <c r="C109" i="2"/>
  <c r="B109" i="2"/>
  <c r="A109" i="2"/>
  <c r="N108" i="2"/>
  <c r="M108" i="2"/>
  <c r="K108" i="2"/>
  <c r="I108" i="2"/>
  <c r="H108" i="2"/>
  <c r="G108" i="2"/>
  <c r="F108" i="2"/>
  <c r="E108" i="2"/>
  <c r="D108" i="2"/>
  <c r="C108" i="2"/>
  <c r="B108" i="2"/>
  <c r="A108" i="2"/>
  <c r="N107" i="2"/>
  <c r="M107" i="2"/>
  <c r="L107" i="2"/>
  <c r="K107" i="2"/>
  <c r="I107" i="2"/>
  <c r="H107" i="2"/>
  <c r="G107" i="2"/>
  <c r="F107" i="2"/>
  <c r="E107" i="2"/>
  <c r="D107" i="2"/>
  <c r="C107" i="2"/>
  <c r="B107" i="2"/>
  <c r="A107" i="2"/>
  <c r="N106" i="2"/>
  <c r="M106" i="2"/>
  <c r="L106" i="2"/>
  <c r="K106" i="2"/>
  <c r="I106" i="2"/>
  <c r="H106" i="2"/>
  <c r="G106" i="2"/>
  <c r="F106" i="2"/>
  <c r="E106" i="2"/>
  <c r="C106" i="2"/>
  <c r="B106" i="2"/>
  <c r="A106" i="2"/>
  <c r="N105" i="2"/>
  <c r="M105" i="2"/>
  <c r="K105" i="2"/>
  <c r="I105" i="2"/>
  <c r="H105" i="2"/>
  <c r="G105" i="2"/>
  <c r="F105" i="2"/>
  <c r="E105" i="2"/>
  <c r="D105" i="2"/>
  <c r="C105" i="2"/>
  <c r="B105" i="2"/>
  <c r="A105" i="2"/>
  <c r="N104" i="2"/>
  <c r="M104" i="2"/>
  <c r="K104" i="2"/>
  <c r="I104" i="2"/>
  <c r="H104" i="2"/>
  <c r="G104" i="2"/>
  <c r="F104" i="2"/>
  <c r="E104" i="2"/>
  <c r="C104" i="2"/>
  <c r="B104" i="2"/>
  <c r="A104" i="2"/>
  <c r="N103" i="2"/>
  <c r="M103" i="2"/>
  <c r="K103" i="2"/>
  <c r="I103" i="2"/>
  <c r="H103" i="2"/>
  <c r="G103" i="2"/>
  <c r="F103" i="2"/>
  <c r="E103" i="2"/>
  <c r="D103" i="2"/>
  <c r="C103" i="2"/>
  <c r="B103" i="2"/>
  <c r="A103" i="2"/>
  <c r="N102" i="2"/>
  <c r="M102" i="2"/>
  <c r="L102" i="2"/>
  <c r="K102" i="2"/>
  <c r="I102" i="2"/>
  <c r="H102" i="2"/>
  <c r="G102" i="2"/>
  <c r="F102" i="2"/>
  <c r="E102" i="2"/>
  <c r="D102" i="2"/>
  <c r="C102" i="2"/>
  <c r="B102" i="2"/>
  <c r="A102" i="2"/>
  <c r="N101" i="2"/>
  <c r="M101" i="2"/>
  <c r="L101" i="2"/>
  <c r="K101" i="2"/>
  <c r="I101" i="2"/>
  <c r="H101" i="2"/>
  <c r="G101" i="2"/>
  <c r="F101" i="2"/>
  <c r="E101" i="2"/>
  <c r="D101" i="2"/>
  <c r="C101" i="2"/>
  <c r="B101" i="2"/>
  <c r="A101" i="2"/>
  <c r="N100" i="2"/>
  <c r="M100" i="2"/>
  <c r="K100" i="2"/>
  <c r="I100" i="2"/>
  <c r="H100" i="2"/>
  <c r="G100" i="2"/>
  <c r="F100" i="2"/>
  <c r="E100" i="2"/>
  <c r="D100" i="2"/>
  <c r="C100" i="2"/>
  <c r="B100" i="2"/>
  <c r="A100" i="2"/>
  <c r="N99" i="2"/>
  <c r="M99" i="2"/>
  <c r="K99" i="2"/>
  <c r="I99" i="2"/>
  <c r="H99" i="2"/>
  <c r="G99" i="2"/>
  <c r="F99" i="2"/>
  <c r="E99" i="2"/>
  <c r="D99" i="2"/>
  <c r="C99" i="2"/>
  <c r="B99" i="2"/>
  <c r="A99" i="2"/>
  <c r="N98" i="2"/>
  <c r="M98" i="2"/>
  <c r="L98" i="2"/>
  <c r="K98" i="2"/>
  <c r="I98" i="2"/>
  <c r="H98" i="2"/>
  <c r="G98" i="2"/>
  <c r="F98" i="2"/>
  <c r="E98" i="2"/>
  <c r="D98" i="2"/>
  <c r="C98" i="2"/>
  <c r="B98" i="2"/>
  <c r="A98" i="2"/>
  <c r="N97" i="2"/>
  <c r="M97" i="2"/>
  <c r="K97" i="2"/>
  <c r="I97" i="2"/>
  <c r="H97" i="2"/>
  <c r="G97" i="2"/>
  <c r="F97" i="2"/>
  <c r="E97" i="2"/>
  <c r="D97" i="2"/>
  <c r="C97" i="2"/>
  <c r="B97" i="2"/>
  <c r="A97" i="2"/>
  <c r="N96" i="2"/>
  <c r="M96" i="2"/>
  <c r="K96" i="2"/>
  <c r="I96" i="2"/>
  <c r="H96" i="2"/>
  <c r="G96" i="2"/>
  <c r="F96" i="2"/>
  <c r="E96" i="2"/>
  <c r="D96" i="2"/>
  <c r="C96" i="2"/>
  <c r="B96" i="2"/>
  <c r="A96" i="2"/>
  <c r="N95" i="2"/>
  <c r="M95" i="2"/>
  <c r="K95" i="2"/>
  <c r="I95" i="2"/>
  <c r="H95" i="2"/>
  <c r="G95" i="2"/>
  <c r="F95" i="2"/>
  <c r="E95" i="2"/>
  <c r="D95" i="2"/>
  <c r="C95" i="2"/>
  <c r="B95" i="2"/>
  <c r="A95" i="2"/>
  <c r="N94" i="2"/>
  <c r="M94" i="2"/>
  <c r="K94" i="2"/>
  <c r="I94" i="2"/>
  <c r="H94" i="2"/>
  <c r="G94" i="2"/>
  <c r="F94" i="2"/>
  <c r="E94" i="2"/>
  <c r="D94" i="2"/>
  <c r="C94" i="2"/>
  <c r="B94" i="2"/>
  <c r="A94" i="2"/>
  <c r="N93" i="2"/>
  <c r="M93" i="2"/>
  <c r="L93" i="2"/>
  <c r="K93" i="2"/>
  <c r="I93" i="2"/>
  <c r="H93" i="2"/>
  <c r="G93" i="2"/>
  <c r="F93" i="2"/>
  <c r="E93" i="2"/>
  <c r="D93" i="2"/>
  <c r="C93" i="2"/>
  <c r="B93" i="2"/>
  <c r="A93" i="2"/>
  <c r="N92" i="2"/>
  <c r="M92" i="2"/>
  <c r="K92" i="2"/>
  <c r="I92" i="2"/>
  <c r="H92" i="2"/>
  <c r="G92" i="2"/>
  <c r="F92" i="2"/>
  <c r="E92" i="2"/>
  <c r="D92" i="2"/>
  <c r="C92" i="2"/>
  <c r="B92" i="2"/>
  <c r="A92" i="2"/>
  <c r="N91" i="2"/>
  <c r="M91" i="2"/>
  <c r="K91" i="2"/>
  <c r="I91" i="2"/>
  <c r="H91" i="2"/>
  <c r="G91" i="2"/>
  <c r="F91" i="2"/>
  <c r="E91" i="2"/>
  <c r="D91" i="2"/>
  <c r="C91" i="2"/>
  <c r="B91" i="2"/>
  <c r="A91" i="2"/>
  <c r="N90" i="2"/>
  <c r="K90" i="2"/>
  <c r="I90" i="2"/>
  <c r="H90" i="2"/>
  <c r="G90" i="2"/>
  <c r="F90" i="2"/>
  <c r="E90" i="2"/>
  <c r="D90" i="2"/>
  <c r="C90" i="2"/>
  <c r="B90" i="2"/>
  <c r="N89" i="2"/>
  <c r="M89" i="2"/>
  <c r="K89" i="2"/>
  <c r="I89" i="2"/>
  <c r="H89" i="2"/>
  <c r="G89" i="2"/>
  <c r="F89" i="2"/>
  <c r="E89" i="2"/>
  <c r="D89" i="2"/>
  <c r="C89" i="2"/>
  <c r="B89" i="2"/>
  <c r="A89" i="2"/>
  <c r="N88" i="2"/>
  <c r="M88" i="2"/>
  <c r="K88" i="2"/>
  <c r="I88" i="2"/>
  <c r="H88" i="2"/>
  <c r="G88" i="2"/>
  <c r="F88" i="2"/>
  <c r="E88" i="2"/>
  <c r="D88" i="2"/>
  <c r="C88" i="2"/>
  <c r="B88" i="2"/>
  <c r="A88" i="2"/>
  <c r="N87" i="2"/>
  <c r="M87" i="2"/>
  <c r="K87" i="2"/>
  <c r="I87" i="2"/>
  <c r="H87" i="2"/>
  <c r="G87" i="2"/>
  <c r="F87" i="2"/>
  <c r="E87" i="2"/>
  <c r="D87" i="2"/>
  <c r="C87" i="2"/>
  <c r="B87" i="2"/>
  <c r="A87" i="2"/>
  <c r="N86" i="2"/>
  <c r="M86" i="2"/>
  <c r="L86" i="2"/>
  <c r="I86" i="2"/>
  <c r="H86" i="2"/>
  <c r="G86" i="2"/>
  <c r="F86" i="2"/>
  <c r="E86" i="2"/>
  <c r="D86" i="2"/>
  <c r="C86" i="2"/>
  <c r="B86" i="2"/>
  <c r="M85" i="2"/>
  <c r="K85" i="2"/>
  <c r="I85" i="2"/>
  <c r="H85" i="2"/>
  <c r="G85" i="2"/>
  <c r="F85" i="2"/>
  <c r="C85" i="2"/>
  <c r="B85" i="2"/>
  <c r="N84" i="2"/>
  <c r="M84" i="2"/>
  <c r="K84" i="2"/>
  <c r="I84" i="2"/>
  <c r="H84" i="2"/>
  <c r="G84" i="2"/>
  <c r="F84" i="2"/>
  <c r="E84" i="2"/>
  <c r="D84" i="2"/>
  <c r="C84" i="2"/>
  <c r="B84" i="2"/>
  <c r="A84" i="2"/>
  <c r="N83" i="2"/>
  <c r="M83" i="2"/>
  <c r="K83" i="2"/>
  <c r="I83" i="2"/>
  <c r="H83" i="2"/>
  <c r="G83" i="2"/>
  <c r="F83" i="2"/>
  <c r="E83" i="2"/>
  <c r="D83" i="2"/>
  <c r="C83" i="2"/>
  <c r="B83" i="2"/>
  <c r="A83" i="2"/>
  <c r="N82" i="2"/>
  <c r="M82" i="2"/>
  <c r="L82" i="2"/>
  <c r="K82" i="2"/>
  <c r="I82" i="2"/>
  <c r="H82" i="2"/>
  <c r="G82" i="2"/>
  <c r="F82" i="2"/>
  <c r="E82" i="2"/>
  <c r="D82" i="2"/>
  <c r="C82" i="2"/>
  <c r="B82" i="2"/>
  <c r="A82" i="2"/>
  <c r="N81" i="2"/>
  <c r="M81" i="2"/>
  <c r="L81" i="2"/>
  <c r="K81" i="2"/>
  <c r="I81" i="2"/>
  <c r="H81" i="2"/>
  <c r="G81" i="2"/>
  <c r="F81" i="2"/>
  <c r="E81" i="2"/>
  <c r="C81" i="2"/>
  <c r="B81" i="2"/>
  <c r="A81" i="2"/>
  <c r="N80" i="2"/>
  <c r="M80" i="2"/>
  <c r="K80" i="2"/>
  <c r="I80" i="2"/>
  <c r="H80" i="2"/>
  <c r="G80" i="2"/>
  <c r="F80" i="2"/>
  <c r="E80" i="2"/>
  <c r="D80" i="2"/>
  <c r="C80" i="2"/>
  <c r="B80" i="2"/>
  <c r="A80" i="2"/>
  <c r="N79" i="2"/>
  <c r="M79" i="2"/>
  <c r="K79" i="2"/>
  <c r="I79" i="2"/>
  <c r="H79" i="2"/>
  <c r="G79" i="2"/>
  <c r="F79" i="2"/>
  <c r="E79" i="2"/>
  <c r="D79" i="2"/>
  <c r="C79" i="2"/>
  <c r="B79" i="2"/>
  <c r="A79" i="2"/>
  <c r="N78" i="2"/>
  <c r="M78" i="2"/>
  <c r="K78" i="2"/>
  <c r="I78" i="2"/>
  <c r="H78" i="2"/>
  <c r="G78" i="2"/>
  <c r="F78" i="2"/>
  <c r="E78" i="2"/>
  <c r="D78" i="2"/>
  <c r="C78" i="2"/>
  <c r="B78" i="2"/>
  <c r="A78" i="2"/>
  <c r="N77" i="2"/>
  <c r="M77" i="2"/>
  <c r="L77" i="2"/>
  <c r="K77" i="2"/>
  <c r="I77" i="2"/>
  <c r="H77" i="2"/>
  <c r="G77" i="2"/>
  <c r="F77" i="2"/>
  <c r="E77" i="2"/>
  <c r="D77" i="2"/>
  <c r="C77" i="2"/>
  <c r="B77" i="2"/>
  <c r="A77" i="2"/>
  <c r="N76" i="2"/>
  <c r="M76" i="2"/>
  <c r="L76" i="2"/>
  <c r="K76" i="2"/>
  <c r="I76" i="2"/>
  <c r="H76" i="2"/>
  <c r="G76" i="2"/>
  <c r="F76" i="2"/>
  <c r="E76" i="2"/>
  <c r="D76" i="2"/>
  <c r="C76" i="2"/>
  <c r="B76" i="2"/>
  <c r="A76" i="2"/>
  <c r="N75" i="2"/>
  <c r="M75" i="2"/>
  <c r="K75" i="2"/>
  <c r="I75" i="2"/>
  <c r="H75" i="2"/>
  <c r="G75" i="2"/>
  <c r="F75" i="2"/>
  <c r="E75" i="2"/>
  <c r="D75" i="2"/>
  <c r="C75" i="2"/>
  <c r="B75" i="2"/>
  <c r="A75" i="2"/>
  <c r="N74" i="2"/>
  <c r="M74" i="2"/>
  <c r="L74" i="2"/>
  <c r="K74" i="2"/>
  <c r="I74" i="2"/>
  <c r="H74" i="2"/>
  <c r="G74" i="2"/>
  <c r="F74" i="2"/>
  <c r="E74" i="2"/>
  <c r="C74" i="2"/>
  <c r="B74" i="2"/>
  <c r="A74" i="2"/>
  <c r="N73" i="2"/>
  <c r="M73" i="2"/>
  <c r="I73" i="2"/>
  <c r="H73" i="2"/>
  <c r="G73" i="2"/>
  <c r="F73" i="2"/>
  <c r="E73" i="2"/>
  <c r="D73" i="2"/>
  <c r="C73" i="2"/>
  <c r="B73" i="2"/>
  <c r="A73" i="2"/>
  <c r="N72" i="2"/>
  <c r="M72" i="2"/>
  <c r="L72" i="2"/>
  <c r="K72" i="2"/>
  <c r="I72" i="2"/>
  <c r="H72" i="2"/>
  <c r="G72" i="2"/>
  <c r="F72" i="2"/>
  <c r="E72" i="2"/>
  <c r="D72" i="2"/>
  <c r="C72" i="2"/>
  <c r="B72" i="2"/>
  <c r="A72" i="2"/>
  <c r="N71" i="2"/>
  <c r="M71" i="2"/>
  <c r="L71" i="2"/>
  <c r="K71" i="2"/>
  <c r="I71" i="2"/>
  <c r="H71" i="2"/>
  <c r="G71" i="2"/>
  <c r="F71" i="2"/>
  <c r="E71" i="2"/>
  <c r="D71" i="2"/>
  <c r="C71" i="2"/>
  <c r="B71" i="2"/>
  <c r="A71" i="2"/>
  <c r="N70" i="2"/>
  <c r="M70" i="2"/>
  <c r="L70" i="2"/>
  <c r="K70" i="2"/>
  <c r="I70" i="2"/>
  <c r="H70" i="2"/>
  <c r="G70" i="2"/>
  <c r="F70" i="2"/>
  <c r="E70" i="2"/>
  <c r="D70" i="2"/>
  <c r="C70" i="2"/>
  <c r="B70" i="2"/>
  <c r="A70" i="2"/>
  <c r="N69" i="2"/>
  <c r="M69" i="2"/>
  <c r="K69" i="2"/>
  <c r="I69" i="2"/>
  <c r="H69" i="2"/>
  <c r="G69" i="2"/>
  <c r="F69" i="2"/>
  <c r="E69" i="2"/>
  <c r="D69" i="2"/>
  <c r="C69" i="2"/>
  <c r="B69" i="2"/>
  <c r="A69" i="2"/>
  <c r="N68" i="2"/>
  <c r="M68" i="2"/>
  <c r="K68" i="2"/>
  <c r="I68" i="2"/>
  <c r="H68" i="2"/>
  <c r="G68" i="2"/>
  <c r="F68" i="2"/>
  <c r="E68" i="2"/>
  <c r="D68" i="2"/>
  <c r="C68" i="2"/>
  <c r="B68" i="2"/>
  <c r="A68" i="2"/>
  <c r="N67" i="2"/>
  <c r="M67" i="2"/>
  <c r="L67" i="2"/>
  <c r="K67" i="2"/>
  <c r="I67" i="2"/>
  <c r="H67" i="2"/>
  <c r="G67" i="2"/>
  <c r="F67" i="2"/>
  <c r="E67" i="2"/>
  <c r="D67" i="2"/>
  <c r="C67" i="2"/>
  <c r="B67" i="2"/>
  <c r="A67" i="2"/>
  <c r="N66" i="2"/>
  <c r="M66" i="2"/>
  <c r="K66" i="2"/>
  <c r="I66" i="2"/>
  <c r="H66" i="2"/>
  <c r="G66" i="2"/>
  <c r="F66" i="2"/>
  <c r="E66" i="2"/>
  <c r="D66" i="2"/>
  <c r="C66" i="2"/>
  <c r="B66" i="2"/>
  <c r="A66" i="2"/>
  <c r="N65" i="2"/>
  <c r="M65" i="2"/>
  <c r="K65" i="2"/>
  <c r="I65" i="2"/>
  <c r="H65" i="2"/>
  <c r="G65" i="2"/>
  <c r="F65" i="2"/>
  <c r="E65" i="2"/>
  <c r="D65" i="2"/>
  <c r="C65" i="2"/>
  <c r="B65" i="2"/>
  <c r="A65" i="2"/>
  <c r="N64" i="2"/>
  <c r="M64" i="2"/>
  <c r="L64" i="2"/>
  <c r="K64" i="2"/>
  <c r="I64" i="2"/>
  <c r="H64" i="2"/>
  <c r="G64" i="2"/>
  <c r="F64" i="2"/>
  <c r="E64" i="2"/>
  <c r="D64" i="2"/>
  <c r="C64" i="2"/>
  <c r="B64" i="2"/>
  <c r="A64" i="2"/>
  <c r="N63" i="2"/>
  <c r="M63" i="2"/>
  <c r="K63" i="2"/>
  <c r="I63" i="2"/>
  <c r="H63" i="2"/>
  <c r="G63" i="2"/>
  <c r="F63" i="2"/>
  <c r="E63" i="2"/>
  <c r="D63" i="2"/>
  <c r="C63" i="2"/>
  <c r="B63" i="2"/>
  <c r="A63" i="2"/>
  <c r="N62" i="2"/>
  <c r="M62" i="2"/>
  <c r="K62" i="2"/>
  <c r="I62" i="2"/>
  <c r="H62" i="2"/>
  <c r="G62" i="2"/>
  <c r="F62" i="2"/>
  <c r="E62" i="2"/>
  <c r="D62" i="2"/>
  <c r="C62" i="2"/>
  <c r="B62" i="2"/>
  <c r="A62" i="2"/>
  <c r="N61" i="2"/>
  <c r="M61" i="2"/>
  <c r="K61" i="2"/>
  <c r="I61" i="2"/>
  <c r="H61" i="2"/>
  <c r="G61" i="2"/>
  <c r="F61" i="2"/>
  <c r="E61" i="2"/>
  <c r="D61" i="2"/>
  <c r="C61" i="2"/>
  <c r="B61" i="2"/>
  <c r="A61" i="2"/>
  <c r="N60" i="2"/>
  <c r="M60" i="2"/>
  <c r="K60" i="2"/>
  <c r="I60" i="2"/>
  <c r="H60" i="2"/>
  <c r="G60" i="2"/>
  <c r="F60" i="2"/>
  <c r="E60" i="2"/>
  <c r="D60" i="2"/>
  <c r="C60" i="2"/>
  <c r="B60" i="2"/>
  <c r="A60" i="2"/>
  <c r="N59" i="2"/>
  <c r="M59" i="2"/>
  <c r="I59" i="2"/>
  <c r="H59" i="2"/>
  <c r="G59" i="2"/>
  <c r="F59" i="2"/>
  <c r="E59" i="2"/>
  <c r="D59" i="2"/>
  <c r="C59" i="2"/>
  <c r="B59" i="2"/>
  <c r="N58" i="2"/>
  <c r="M58" i="2"/>
  <c r="K58" i="2"/>
  <c r="I58" i="2"/>
  <c r="H58" i="2"/>
  <c r="G58" i="2"/>
  <c r="F58" i="2"/>
  <c r="E58" i="2"/>
  <c r="D58" i="2"/>
  <c r="C58" i="2"/>
  <c r="B58" i="2"/>
  <c r="A58" i="2"/>
  <c r="A57" i="2"/>
  <c r="A56" i="2"/>
  <c r="A55" i="2"/>
  <c r="A54" i="2"/>
  <c r="N53" i="2"/>
  <c r="M53" i="2"/>
  <c r="K53" i="2"/>
  <c r="I53" i="2"/>
  <c r="H53" i="2"/>
  <c r="G53" i="2"/>
  <c r="F53" i="2"/>
  <c r="E53" i="2"/>
  <c r="D53" i="2"/>
  <c r="C53" i="2"/>
  <c r="B53" i="2"/>
  <c r="A53" i="2"/>
  <c r="N52" i="2"/>
  <c r="M52" i="2"/>
  <c r="K52" i="2"/>
  <c r="I52" i="2"/>
  <c r="H52" i="2"/>
  <c r="G52" i="2"/>
  <c r="F52" i="2"/>
  <c r="E52" i="2"/>
  <c r="D52" i="2"/>
  <c r="C52" i="2"/>
  <c r="B52" i="2"/>
  <c r="A52" i="2"/>
  <c r="N51" i="2"/>
  <c r="M51" i="2"/>
  <c r="K51" i="2"/>
  <c r="I51" i="2"/>
  <c r="H51" i="2"/>
  <c r="G51" i="2"/>
  <c r="F51" i="2"/>
  <c r="E51" i="2"/>
  <c r="D51" i="2"/>
  <c r="C51" i="2"/>
  <c r="B51" i="2"/>
  <c r="A51" i="2"/>
  <c r="A50" i="2"/>
  <c r="N49" i="2"/>
  <c r="M49" i="2"/>
  <c r="I49" i="2"/>
  <c r="H49" i="2"/>
  <c r="G49" i="2"/>
  <c r="F49" i="2"/>
  <c r="E49" i="2"/>
  <c r="D49" i="2"/>
  <c r="C49" i="2"/>
  <c r="B49" i="2"/>
  <c r="N48" i="2"/>
  <c r="M48" i="2"/>
  <c r="K48" i="2"/>
  <c r="I48" i="2"/>
  <c r="H48" i="2"/>
  <c r="G48" i="2"/>
  <c r="F48" i="2"/>
  <c r="E48" i="2"/>
  <c r="D48" i="2"/>
  <c r="C48" i="2"/>
  <c r="B48" i="2"/>
  <c r="A48" i="2"/>
  <c r="N47" i="2"/>
  <c r="M47" i="2"/>
  <c r="K47" i="2"/>
  <c r="I47" i="2"/>
  <c r="H47" i="2"/>
  <c r="G47" i="2"/>
  <c r="F47" i="2"/>
  <c r="E47" i="2"/>
  <c r="D47" i="2"/>
  <c r="C47" i="2"/>
  <c r="B47" i="2"/>
  <c r="A47" i="2"/>
  <c r="A46" i="2"/>
  <c r="N45" i="2"/>
  <c r="M45" i="2"/>
  <c r="K45" i="2"/>
  <c r="I45" i="2"/>
  <c r="H45" i="2"/>
  <c r="G45" i="2"/>
  <c r="F45" i="2"/>
  <c r="E45" i="2"/>
  <c r="D45" i="2"/>
  <c r="C45" i="2"/>
  <c r="B45" i="2"/>
  <c r="A45" i="2"/>
  <c r="N44" i="2"/>
  <c r="M44" i="2"/>
  <c r="I44" i="2"/>
  <c r="H44" i="2"/>
  <c r="G44" i="2"/>
  <c r="F44" i="2"/>
  <c r="E44" i="2"/>
  <c r="D44" i="2"/>
  <c r="C44" i="2"/>
  <c r="B44" i="2"/>
  <c r="A43" i="2"/>
  <c r="A42" i="2"/>
  <c r="A41" i="2"/>
  <c r="N40" i="2"/>
  <c r="M40" i="2"/>
  <c r="K40" i="2"/>
  <c r="I40" i="2"/>
  <c r="H40" i="2"/>
  <c r="G40" i="2"/>
  <c r="F40" i="2"/>
  <c r="E40" i="2"/>
  <c r="D40" i="2"/>
  <c r="C40" i="2"/>
  <c r="B40" i="2"/>
  <c r="A40" i="2"/>
  <c r="N39" i="2"/>
  <c r="M39" i="2"/>
  <c r="K39" i="2"/>
  <c r="I39" i="2"/>
  <c r="H39" i="2"/>
  <c r="G39" i="2"/>
  <c r="F39" i="2"/>
  <c r="E39" i="2"/>
  <c r="D39" i="2"/>
  <c r="C39" i="2"/>
  <c r="B39" i="2"/>
  <c r="A39" i="2"/>
  <c r="N38" i="2"/>
  <c r="M38" i="2"/>
  <c r="K38" i="2"/>
  <c r="I38" i="2"/>
  <c r="H38" i="2"/>
  <c r="G38" i="2"/>
  <c r="F38" i="2"/>
  <c r="E38" i="2"/>
  <c r="D38" i="2"/>
  <c r="C38" i="2"/>
  <c r="B38" i="2"/>
  <c r="A38" i="2"/>
  <c r="A37" i="2"/>
  <c r="A36" i="2"/>
  <c r="N35" i="2"/>
  <c r="M35" i="2"/>
  <c r="K35" i="2"/>
  <c r="I35" i="2"/>
  <c r="H35" i="2"/>
  <c r="G35" i="2"/>
  <c r="F35" i="2"/>
  <c r="E35" i="2"/>
  <c r="D35" i="2"/>
  <c r="C35" i="2"/>
  <c r="B35" i="2"/>
  <c r="A35" i="2"/>
  <c r="M34" i="2"/>
  <c r="L34" i="2"/>
  <c r="K34" i="2"/>
  <c r="I34" i="2"/>
  <c r="H34" i="2"/>
  <c r="G34" i="2"/>
  <c r="F34" i="2"/>
  <c r="E34" i="2"/>
  <c r="D34" i="2"/>
  <c r="C34" i="2"/>
  <c r="B34" i="2"/>
  <c r="A34" i="2"/>
  <c r="M33" i="2"/>
  <c r="L33" i="2"/>
  <c r="K33" i="2"/>
  <c r="I33" i="2"/>
  <c r="H33" i="2"/>
  <c r="G33" i="2"/>
  <c r="F33" i="2"/>
  <c r="E33" i="2"/>
  <c r="D33" i="2"/>
  <c r="C33" i="2"/>
  <c r="B33" i="2"/>
  <c r="A33" i="2"/>
  <c r="M32" i="2"/>
  <c r="L32" i="2"/>
  <c r="K32" i="2"/>
  <c r="I32" i="2"/>
  <c r="H32" i="2"/>
  <c r="G32" i="2"/>
  <c r="F32" i="2"/>
  <c r="E32" i="2"/>
  <c r="D32" i="2"/>
  <c r="C32" i="2"/>
  <c r="B32" i="2"/>
  <c r="M31" i="2"/>
  <c r="L31" i="2"/>
  <c r="K31" i="2"/>
  <c r="I31" i="2"/>
  <c r="H31" i="2"/>
  <c r="G31" i="2"/>
  <c r="F31" i="2"/>
  <c r="E31" i="2"/>
  <c r="B31" i="2"/>
  <c r="A31" i="2"/>
  <c r="M30" i="2"/>
  <c r="L30" i="2"/>
  <c r="K30" i="2"/>
  <c r="I30" i="2"/>
  <c r="H30" i="2"/>
  <c r="G30" i="2"/>
  <c r="F30" i="2"/>
  <c r="E30" i="2"/>
  <c r="C30" i="2"/>
  <c r="B30" i="2"/>
  <c r="A30" i="2"/>
  <c r="M29" i="2"/>
  <c r="L29" i="2"/>
  <c r="K29" i="2"/>
  <c r="I29" i="2"/>
  <c r="H29" i="2"/>
  <c r="G29" i="2"/>
  <c r="F29" i="2"/>
  <c r="E29" i="2"/>
  <c r="D29" i="2"/>
  <c r="C29" i="2"/>
  <c r="B29" i="2"/>
  <c r="A29" i="2"/>
  <c r="M28" i="2"/>
  <c r="L28" i="2"/>
  <c r="I28" i="2"/>
  <c r="H28" i="2"/>
  <c r="G28" i="2"/>
  <c r="F28" i="2"/>
  <c r="E28" i="2"/>
  <c r="D28" i="2"/>
  <c r="C28" i="2"/>
  <c r="B28" i="2"/>
  <c r="A28" i="2"/>
  <c r="M27" i="2"/>
  <c r="K27" i="2"/>
  <c r="I27" i="2"/>
  <c r="H27" i="2"/>
  <c r="G27" i="2"/>
  <c r="F27" i="2"/>
  <c r="E27" i="2"/>
  <c r="D27" i="2"/>
  <c r="C27" i="2"/>
  <c r="B27" i="2"/>
  <c r="A27" i="2"/>
  <c r="M26" i="2"/>
  <c r="L26" i="2"/>
  <c r="K26" i="2"/>
  <c r="I26" i="2"/>
  <c r="H26" i="2"/>
  <c r="G26" i="2"/>
  <c r="F26" i="2"/>
  <c r="E26" i="2"/>
  <c r="D26" i="2"/>
  <c r="C26" i="2"/>
  <c r="B26" i="2"/>
  <c r="A26" i="2"/>
  <c r="M25" i="2"/>
  <c r="L25" i="2"/>
  <c r="K25" i="2"/>
  <c r="I25" i="2"/>
  <c r="H25" i="2"/>
  <c r="G25" i="2"/>
  <c r="F25" i="2"/>
  <c r="E25" i="2"/>
  <c r="D25" i="2"/>
  <c r="C25" i="2"/>
  <c r="B25" i="2"/>
  <c r="A25" i="2"/>
  <c r="M24" i="2"/>
  <c r="L24" i="2"/>
  <c r="K24" i="2"/>
  <c r="I24" i="2"/>
  <c r="H24" i="2"/>
  <c r="G24" i="2"/>
  <c r="F24" i="2"/>
  <c r="E24" i="2"/>
  <c r="D24" i="2"/>
  <c r="C24" i="2"/>
  <c r="B24" i="2"/>
  <c r="A24" i="2"/>
  <c r="M23" i="2"/>
  <c r="L23" i="2"/>
  <c r="K23" i="2"/>
  <c r="I23" i="2"/>
  <c r="H23" i="2"/>
  <c r="G23" i="2"/>
  <c r="F23" i="2"/>
  <c r="E23" i="2"/>
  <c r="D23" i="2"/>
  <c r="C23" i="2"/>
  <c r="B23" i="2"/>
  <c r="A23" i="2"/>
  <c r="M22" i="2"/>
  <c r="L22" i="2"/>
  <c r="K22" i="2"/>
  <c r="I22" i="2"/>
  <c r="H22" i="2"/>
  <c r="G22" i="2"/>
  <c r="F22" i="2"/>
  <c r="E22" i="2"/>
  <c r="D22" i="2"/>
  <c r="C22" i="2"/>
  <c r="B22" i="2"/>
  <c r="A22" i="2"/>
  <c r="M21" i="2"/>
  <c r="L21" i="2"/>
  <c r="K21" i="2"/>
  <c r="I21" i="2"/>
  <c r="H21" i="2"/>
  <c r="G21" i="2"/>
  <c r="F21" i="2"/>
  <c r="E21" i="2"/>
  <c r="D21" i="2"/>
  <c r="C21" i="2"/>
  <c r="B21" i="2"/>
  <c r="A21" i="2"/>
  <c r="M20" i="2"/>
  <c r="L20" i="2"/>
  <c r="K20" i="2"/>
  <c r="I20" i="2"/>
  <c r="H20" i="2"/>
  <c r="G20" i="2"/>
  <c r="F20" i="2"/>
  <c r="E20" i="2"/>
  <c r="D20" i="2"/>
  <c r="C20" i="2"/>
  <c r="B20" i="2"/>
  <c r="A20" i="2"/>
  <c r="M19" i="2"/>
  <c r="L19" i="2"/>
  <c r="K19" i="2"/>
  <c r="I19" i="2"/>
  <c r="H19" i="2"/>
  <c r="G19" i="2"/>
  <c r="F19" i="2"/>
  <c r="E19" i="2"/>
  <c r="D19" i="2"/>
  <c r="C19" i="2"/>
  <c r="B19" i="2"/>
  <c r="M18" i="2"/>
  <c r="L18" i="2"/>
  <c r="K18" i="2"/>
  <c r="I18" i="2"/>
  <c r="H18" i="2"/>
  <c r="G18" i="2"/>
  <c r="F18" i="2"/>
  <c r="E18" i="2"/>
  <c r="D18" i="2"/>
  <c r="C18" i="2"/>
  <c r="B18" i="2"/>
  <c r="A18" i="2"/>
  <c r="M17" i="2"/>
  <c r="K17" i="2"/>
  <c r="I17" i="2"/>
  <c r="H17" i="2"/>
  <c r="G17" i="2"/>
  <c r="F17" i="2"/>
  <c r="E17" i="2"/>
  <c r="D17" i="2"/>
  <c r="C17" i="2"/>
  <c r="B17" i="2"/>
  <c r="A17" i="2"/>
  <c r="M16" i="2"/>
  <c r="L16" i="2"/>
  <c r="I16" i="2"/>
  <c r="H16" i="2"/>
  <c r="G16" i="2"/>
  <c r="F16" i="2"/>
  <c r="E16" i="2"/>
  <c r="D16" i="2"/>
  <c r="C16" i="2"/>
  <c r="B16" i="2"/>
  <c r="A16" i="2"/>
  <c r="M15" i="2"/>
  <c r="L15" i="2"/>
  <c r="K15" i="2"/>
  <c r="I15" i="2"/>
  <c r="H15" i="2"/>
  <c r="G15" i="2"/>
  <c r="F15" i="2"/>
  <c r="E15" i="2"/>
  <c r="D15" i="2"/>
  <c r="C15" i="2"/>
  <c r="B15" i="2"/>
  <c r="A15" i="2"/>
  <c r="N14" i="2"/>
  <c r="M14" i="2"/>
  <c r="L14" i="2"/>
  <c r="K14" i="2"/>
  <c r="I14" i="2"/>
  <c r="H14" i="2"/>
  <c r="G14" i="2"/>
  <c r="F14" i="2"/>
  <c r="E14" i="2"/>
  <c r="D14" i="2"/>
  <c r="C14" i="2"/>
  <c r="B14" i="2"/>
  <c r="A14" i="2"/>
  <c r="M13" i="2"/>
  <c r="L13" i="2"/>
  <c r="K13" i="2"/>
  <c r="I13" i="2"/>
  <c r="H13" i="2"/>
  <c r="G13" i="2"/>
  <c r="F13" i="2"/>
  <c r="E13" i="2"/>
  <c r="D13" i="2"/>
  <c r="C13" i="2"/>
  <c r="B13" i="2"/>
  <c r="A13" i="2"/>
  <c r="A12" i="2"/>
  <c r="M11" i="2"/>
  <c r="L11" i="2"/>
  <c r="K11" i="2"/>
  <c r="I11" i="2"/>
  <c r="H11" i="2"/>
  <c r="G11" i="2"/>
  <c r="F11" i="2"/>
  <c r="E11" i="2"/>
  <c r="D11" i="2"/>
  <c r="C11" i="2"/>
  <c r="B11" i="2"/>
  <c r="A11" i="2"/>
  <c r="A10" i="2"/>
  <c r="M9" i="2"/>
  <c r="L9" i="2"/>
  <c r="K9" i="2"/>
  <c r="I9" i="2"/>
  <c r="H9" i="2"/>
  <c r="G9" i="2"/>
  <c r="F9" i="2"/>
  <c r="E9" i="2"/>
  <c r="D9" i="2"/>
  <c r="C9" i="2"/>
  <c r="B9" i="2"/>
  <c r="A9" i="2"/>
  <c r="N8" i="2"/>
  <c r="M8" i="2"/>
  <c r="K8" i="2"/>
  <c r="I8" i="2"/>
  <c r="H8" i="2"/>
  <c r="G8" i="2"/>
  <c r="F8" i="2"/>
  <c r="E8" i="2"/>
  <c r="D8" i="2"/>
  <c r="C8" i="2"/>
  <c r="B8" i="2"/>
  <c r="A8" i="2"/>
  <c r="N7" i="2"/>
  <c r="M7" i="2"/>
  <c r="K7" i="2"/>
  <c r="I7" i="2"/>
  <c r="H7" i="2"/>
  <c r="G7" i="2"/>
  <c r="F7" i="2"/>
  <c r="E7" i="2"/>
  <c r="D7" i="2"/>
  <c r="C7" i="2"/>
  <c r="B7" i="2"/>
  <c r="A7" i="2"/>
  <c r="M5" i="2"/>
  <c r="I5" i="2"/>
  <c r="H5" i="2"/>
  <c r="G5" i="2"/>
  <c r="F5" i="2"/>
  <c r="E5" i="2"/>
  <c r="D5" i="2"/>
  <c r="C5" i="2"/>
  <c r="B5" i="2"/>
  <c r="M4" i="2"/>
  <c r="L4" i="2"/>
  <c r="K4" i="2"/>
  <c r="I4" i="2"/>
  <c r="H4" i="2"/>
  <c r="G4" i="2"/>
  <c r="F4" i="2"/>
  <c r="E4" i="2"/>
  <c r="D4" i="2"/>
  <c r="C4" i="2"/>
  <c r="B4" i="2"/>
  <c r="A4" i="2"/>
  <c r="M3" i="2"/>
  <c r="L3" i="2"/>
  <c r="K3" i="2"/>
  <c r="I3" i="2"/>
  <c r="H3" i="2"/>
  <c r="G3" i="2"/>
  <c r="F3" i="2"/>
  <c r="E3" i="2"/>
  <c r="D3" i="2"/>
  <c r="C3" i="2"/>
  <c r="B3" i="2"/>
  <c r="A3" i="2"/>
  <c r="M2" i="2"/>
  <c r="L2" i="2"/>
  <c r="K2" i="2"/>
  <c r="I2" i="2"/>
  <c r="H2" i="2"/>
  <c r="G2" i="2"/>
  <c r="F2" i="2"/>
  <c r="E2" i="2"/>
  <c r="D2" i="2"/>
  <c r="C2" i="2"/>
  <c r="B2" i="2"/>
  <c r="A2" i="2"/>
  <c r="N1" i="2"/>
  <c r="K1" i="2"/>
  <c r="E1" i="2"/>
  <c r="M39" i="1"/>
  <c r="L39" i="1"/>
  <c r="J39" i="1"/>
  <c r="H39" i="1"/>
  <c r="G39" i="1"/>
  <c r="F39" i="1"/>
  <c r="E39" i="1"/>
  <c r="D39" i="1"/>
  <c r="C39" i="1"/>
  <c r="B39" i="1"/>
  <c r="A39" i="1"/>
  <c r="M38" i="1"/>
  <c r="L38" i="1"/>
  <c r="J38" i="1"/>
  <c r="H38" i="1"/>
  <c r="G38" i="1"/>
  <c r="F38" i="1"/>
  <c r="E38" i="1"/>
  <c r="D38" i="1"/>
  <c r="C38" i="1"/>
  <c r="B38" i="1"/>
  <c r="A38" i="1"/>
  <c r="M37" i="1"/>
  <c r="L37" i="1"/>
  <c r="K37" i="1"/>
  <c r="J37" i="1"/>
  <c r="H37" i="1"/>
  <c r="G37" i="1"/>
  <c r="F37" i="1"/>
  <c r="E37" i="1"/>
  <c r="D37" i="1"/>
  <c r="C37" i="1"/>
  <c r="B37" i="1"/>
  <c r="A37" i="1"/>
  <c r="M36" i="1"/>
  <c r="L36" i="1"/>
  <c r="K36" i="1"/>
  <c r="J36" i="1"/>
  <c r="H36" i="1"/>
  <c r="G36" i="1"/>
  <c r="F36" i="1"/>
  <c r="E36" i="1"/>
  <c r="D36" i="1"/>
  <c r="C36" i="1"/>
  <c r="B36" i="1"/>
  <c r="A36" i="1"/>
  <c r="M35" i="1"/>
  <c r="L35" i="1"/>
  <c r="J35" i="1"/>
  <c r="H35" i="1"/>
  <c r="G35" i="1"/>
  <c r="F35" i="1"/>
  <c r="E35" i="1"/>
  <c r="D35" i="1"/>
  <c r="C35" i="1"/>
  <c r="B35" i="1"/>
  <c r="A35" i="1"/>
  <c r="M34" i="1"/>
  <c r="L34" i="1"/>
  <c r="J34" i="1"/>
  <c r="H34" i="1"/>
  <c r="G34" i="1"/>
  <c r="F34" i="1"/>
  <c r="E34" i="1"/>
  <c r="D34" i="1"/>
  <c r="C34" i="1"/>
  <c r="B34" i="1"/>
  <c r="A34" i="1"/>
  <c r="M33" i="1"/>
  <c r="L33" i="1"/>
  <c r="K33" i="1"/>
  <c r="J33" i="1"/>
  <c r="H33" i="1"/>
  <c r="G33" i="1"/>
  <c r="F33" i="1"/>
  <c r="E33" i="1"/>
  <c r="D33" i="1"/>
  <c r="C33" i="1"/>
  <c r="B33" i="1"/>
  <c r="A33" i="1"/>
  <c r="M32" i="1"/>
  <c r="L32" i="1"/>
  <c r="J32" i="1"/>
  <c r="H32" i="1"/>
  <c r="G32" i="1"/>
  <c r="F32" i="1"/>
  <c r="E32" i="1"/>
  <c r="D32" i="1"/>
  <c r="C32" i="1"/>
  <c r="B32" i="1"/>
  <c r="A32" i="1"/>
  <c r="M31" i="1"/>
  <c r="L31" i="1"/>
  <c r="J31" i="1"/>
  <c r="H31" i="1"/>
  <c r="G31" i="1"/>
  <c r="F31" i="1"/>
  <c r="E31" i="1"/>
  <c r="D31" i="1"/>
  <c r="C31" i="1"/>
  <c r="B31" i="1"/>
  <c r="A31" i="1"/>
  <c r="M1" i="1"/>
  <c r="J1" i="1"/>
  <c r="D1" i="1"/>
</calcChain>
</file>

<file path=xl/sharedStrings.xml><?xml version="1.0" encoding="utf-8"?>
<sst xmlns="http://schemas.openxmlformats.org/spreadsheetml/2006/main" count="2269" uniqueCount="324">
  <si>
    <t>LAST EDITED</t>
  </si>
  <si>
    <t>CLUB</t>
  </si>
  <si>
    <t>BRANCH</t>
  </si>
  <si>
    <t>FIRST NAME</t>
  </si>
  <si>
    <t>LAST NAME</t>
  </si>
  <si>
    <t>MEMBER #</t>
  </si>
  <si>
    <t>GENDER</t>
  </si>
  <si>
    <t>DATE OF BIRTH</t>
  </si>
  <si>
    <t>CATEGORY</t>
  </si>
  <si>
    <t>EVENT</t>
  </si>
  <si>
    <t>Nombre de division</t>
  </si>
  <si>
    <t>Commentaire</t>
  </si>
  <si>
    <t>catégorie</t>
  </si>
  <si>
    <t/>
  </si>
  <si>
    <t>Club de judo Torakai</t>
  </si>
  <si>
    <t>QC</t>
  </si>
  <si>
    <t>Quebec</t>
  </si>
  <si>
    <t>Catherine</t>
  </si>
  <si>
    <t>Tardif</t>
  </si>
  <si>
    <t>0231248</t>
  </si>
  <si>
    <t>F</t>
  </si>
  <si>
    <t>1k</t>
  </si>
  <si>
    <t>Master</t>
  </si>
  <si>
    <t>-70</t>
  </si>
  <si>
    <t>seule</t>
  </si>
  <si>
    <t>F1</t>
  </si>
  <si>
    <t>Full Circle Judo Club</t>
  </si>
  <si>
    <t>ON</t>
  </si>
  <si>
    <t>Ontario</t>
  </si>
  <si>
    <t>Artur</t>
  </si>
  <si>
    <t>Targosinski</t>
  </si>
  <si>
    <t>0146076</t>
  </si>
  <si>
    <t>M</t>
  </si>
  <si>
    <t>2D</t>
  </si>
  <si>
    <t>-73</t>
  </si>
  <si>
    <t>MOYEN</t>
  </si>
  <si>
    <t>M5, with M3M5-81 or M5M8-90 ?</t>
  </si>
  <si>
    <t>M3M5 -81</t>
  </si>
  <si>
    <t>Club de judo St-Paul l'Ermite</t>
  </si>
  <si>
    <t>Genevieve</t>
  </si>
  <si>
    <t>Poulin</t>
  </si>
  <si>
    <t>0201255</t>
  </si>
  <si>
    <t>-48</t>
  </si>
  <si>
    <t>seule, avec Senior ?</t>
  </si>
  <si>
    <t>F2</t>
  </si>
  <si>
    <t>Kohbukan-Sisu Judo Club</t>
  </si>
  <si>
    <t>Amanda</t>
  </si>
  <si>
    <t>McAlpine</t>
  </si>
  <si>
    <t>0208319</t>
  </si>
  <si>
    <t>+78</t>
  </si>
  <si>
    <t>110kg</t>
  </si>
  <si>
    <t>F3</t>
  </si>
  <si>
    <t>Ne waza</t>
  </si>
  <si>
    <t>seule, avec 52 et 57 ?</t>
  </si>
  <si>
    <t>NewazaF</t>
  </si>
  <si>
    <t>The Art Of Balance Dojo</t>
  </si>
  <si>
    <t>Josephine</t>
  </si>
  <si>
    <t>Morgenroth</t>
  </si>
  <si>
    <t>AutreFederation</t>
  </si>
  <si>
    <t>Open</t>
  </si>
  <si>
    <t>OpenF</t>
  </si>
  <si>
    <t>AJAX Budokan</t>
  </si>
  <si>
    <t>Matteo</t>
  </si>
  <si>
    <t>Fantozzi</t>
  </si>
  <si>
    <t>0205649</t>
  </si>
  <si>
    <t>Senior</t>
  </si>
  <si>
    <t>-55</t>
  </si>
  <si>
    <t>Courriel, catégorie retirée</t>
  </si>
  <si>
    <t>SenM</t>
  </si>
  <si>
    <t>Cloverdale Judo Club</t>
  </si>
  <si>
    <t>British Columbia</t>
  </si>
  <si>
    <t>Philipp</t>
  </si>
  <si>
    <t>Dohm</t>
  </si>
  <si>
    <t>3k</t>
  </si>
  <si>
    <t>Courriel le 26/10, grade insuffisant</t>
  </si>
  <si>
    <t>SenM -73</t>
  </si>
  <si>
    <t>Takahashi Dojo</t>
  </si>
  <si>
    <t>Thomas</t>
  </si>
  <si>
    <t>Drolet</t>
  </si>
  <si>
    <t>0216076</t>
  </si>
  <si>
    <t>2k</t>
  </si>
  <si>
    <t>Campbell River Judo Club</t>
  </si>
  <si>
    <t>BC</t>
  </si>
  <si>
    <t>Yana</t>
  </si>
  <si>
    <t>Jacobs</t>
  </si>
  <si>
    <t>0233058</t>
  </si>
  <si>
    <t>grade insuffisant</t>
  </si>
  <si>
    <t>SenF -70</t>
  </si>
  <si>
    <t>2018-10-22 10:19:11</t>
  </si>
  <si>
    <t>Chul Woong</t>
  </si>
  <si>
    <t>Hyun</t>
  </si>
  <si>
    <t>-81</t>
  </si>
  <si>
    <t>SenM -81</t>
  </si>
  <si>
    <t>Club de judo Shidokan inc.</t>
  </si>
  <si>
    <t>Roman</t>
  </si>
  <si>
    <t>Kouperchand</t>
  </si>
  <si>
    <t>0234601</t>
  </si>
  <si>
    <t>Club de Judo Haut-Richelieu</t>
  </si>
  <si>
    <t>Malie</t>
  </si>
  <si>
    <t>Charbonneau</t>
  </si>
  <si>
    <t>0188691</t>
  </si>
  <si>
    <t>U14</t>
  </si>
  <si>
    <t>-32</t>
  </si>
  <si>
    <t>seule, monter en -36?</t>
  </si>
  <si>
    <t>U14F -32</t>
  </si>
  <si>
    <t>Universal Judo</t>
  </si>
  <si>
    <t>USA</t>
  </si>
  <si>
    <t>Texas</t>
  </si>
  <si>
    <t>Taylor</t>
  </si>
  <si>
    <t>Weber</t>
  </si>
  <si>
    <t>1D</t>
  </si>
  <si>
    <t>U16</t>
  </si>
  <si>
    <t>-66</t>
  </si>
  <si>
    <t>Courriel 26/10, wrong division, should be U21</t>
  </si>
  <si>
    <t>U16M -66</t>
  </si>
  <si>
    <t>Lethbridge Kyodokan Judo Club</t>
  </si>
  <si>
    <t>AB</t>
  </si>
  <si>
    <t>Alberta</t>
  </si>
  <si>
    <t>Brynn</t>
  </si>
  <si>
    <t>Iwaasa</t>
  </si>
  <si>
    <t>0407178</t>
  </si>
  <si>
    <t>U18</t>
  </si>
  <si>
    <t>-40</t>
  </si>
  <si>
    <t>seule, move to -44 ?</t>
  </si>
  <si>
    <t>U18F -40</t>
  </si>
  <si>
    <t>Académie de Judo de Sept-Iles Inc.</t>
  </si>
  <si>
    <t>Yohan</t>
  </si>
  <si>
    <t>Chouinard</t>
  </si>
  <si>
    <t>0162636</t>
  </si>
  <si>
    <t>U21</t>
  </si>
  <si>
    <t>-100</t>
  </si>
  <si>
    <t>seul</t>
  </si>
  <si>
    <t>U21M -100</t>
  </si>
  <si>
    <t>Club de judo de la vieille capitale</t>
  </si>
  <si>
    <t>Coralie</t>
  </si>
  <si>
    <t>Godbout</t>
  </si>
  <si>
    <t>0155845</t>
  </si>
  <si>
    <t>seule en U21</t>
  </si>
  <si>
    <t>U21F +78</t>
  </si>
  <si>
    <t>Josie-Anne</t>
  </si>
  <si>
    <t>Synott</t>
  </si>
  <si>
    <t>0212183</t>
  </si>
  <si>
    <t>-78</t>
  </si>
  <si>
    <t>seule en -78, AVEC +78?</t>
  </si>
  <si>
    <t>U21F -78</t>
  </si>
  <si>
    <t>retraits</t>
  </si>
  <si>
    <t>Courriel 26/10</t>
  </si>
  <si>
    <t>courriel 26/10</t>
  </si>
  <si>
    <t>REGISTRATION DATE</t>
  </si>
  <si>
    <t>favoris</t>
  </si>
  <si>
    <t>LOURD +</t>
  </si>
  <si>
    <t>M4</t>
  </si>
  <si>
    <t>M3M4 +100</t>
  </si>
  <si>
    <t>M3</t>
  </si>
  <si>
    <t>Kiseki Judo</t>
  </si>
  <si>
    <t>Issac</t>
  </si>
  <si>
    <t>Pudas</t>
  </si>
  <si>
    <t>0240672</t>
  </si>
  <si>
    <t>1k+</t>
  </si>
  <si>
    <t>+100</t>
  </si>
  <si>
    <t>LEGER</t>
  </si>
  <si>
    <t>M2</t>
  </si>
  <si>
    <t>M1M3 -66</t>
  </si>
  <si>
    <t>Sejel/Cotia</t>
  </si>
  <si>
    <t>BRA</t>
  </si>
  <si>
    <t>Brazil</t>
  </si>
  <si>
    <t>Diego</t>
  </si>
  <si>
    <t>Biriba</t>
  </si>
  <si>
    <t>M1</t>
  </si>
  <si>
    <t>R.a. Judo Club</t>
  </si>
  <si>
    <t>Ankur</t>
  </si>
  <si>
    <t>Mahajan</t>
  </si>
  <si>
    <t>0232768</t>
  </si>
  <si>
    <t>M1M2 -81</t>
  </si>
  <si>
    <t>M8</t>
  </si>
  <si>
    <t>M5M8 -90</t>
  </si>
  <si>
    <t>LOURD</t>
  </si>
  <si>
    <t>M5</t>
  </si>
  <si>
    <t>M2M4 -90</t>
  </si>
  <si>
    <t>M6</t>
  </si>
  <si>
    <t>FRA</t>
  </si>
  <si>
    <t>tech judo</t>
  </si>
  <si>
    <t>Nakamura Judo Club</t>
  </si>
  <si>
    <t>MB</t>
  </si>
  <si>
    <t>Manitoba</t>
  </si>
  <si>
    <t>Jennifer</t>
  </si>
  <si>
    <t>Nguyen</t>
  </si>
  <si>
    <t>0147153</t>
  </si>
  <si>
    <t>-52</t>
  </si>
  <si>
    <t>Club de judo Saint-Hyacinthe Inc.</t>
  </si>
  <si>
    <t>Benjamin</t>
  </si>
  <si>
    <t>Daviau</t>
  </si>
  <si>
    <t>0097704</t>
  </si>
  <si>
    <t>-60</t>
  </si>
  <si>
    <t>NewazaM leger</t>
  </si>
  <si>
    <t>Keisatsu Judo Winnipeg</t>
  </si>
  <si>
    <t>Riley</t>
  </si>
  <si>
    <t>Southby</t>
  </si>
  <si>
    <t>0217492</t>
  </si>
  <si>
    <t>Jason Morris Judo Center</t>
  </si>
  <si>
    <t>Georgia</t>
  </si>
  <si>
    <t>Ari</t>
  </si>
  <si>
    <t>Berliner</t>
  </si>
  <si>
    <t>66kg</t>
  </si>
  <si>
    <t>NewazaM medium</t>
  </si>
  <si>
    <t>Fredericton Judo Club</t>
  </si>
  <si>
    <t>NB</t>
  </si>
  <si>
    <t>New Brunswick</t>
  </si>
  <si>
    <t>Samuel</t>
  </si>
  <si>
    <t>Kristoffersen</t>
  </si>
  <si>
    <t>0157855</t>
  </si>
  <si>
    <t>3D</t>
  </si>
  <si>
    <t>New York</t>
  </si>
  <si>
    <t>Kell</t>
  </si>
  <si>
    <t>81kg</t>
  </si>
  <si>
    <t>Burnaby Judo Club</t>
  </si>
  <si>
    <t>Tim</t>
  </si>
  <si>
    <t>Lyon</t>
  </si>
  <si>
    <t>0206917</t>
  </si>
  <si>
    <t>North Bay Dojo Club</t>
  </si>
  <si>
    <t>Kristopher</t>
  </si>
  <si>
    <t>Boaro</t>
  </si>
  <si>
    <t>0155079</t>
  </si>
  <si>
    <t>-90</t>
  </si>
  <si>
    <t>NewazaM lourd</t>
  </si>
  <si>
    <t>Maxime</t>
  </si>
  <si>
    <t>Côté</t>
  </si>
  <si>
    <t>0097624</t>
  </si>
  <si>
    <t>judo Magog</t>
  </si>
  <si>
    <t>Yannick</t>
  </si>
  <si>
    <t>Degasne</t>
  </si>
  <si>
    <t>0189081</t>
  </si>
  <si>
    <t>SenM Open</t>
  </si>
  <si>
    <t>SenM +100</t>
  </si>
  <si>
    <t>SenF +78</t>
  </si>
  <si>
    <t>SenF -48</t>
  </si>
  <si>
    <t>SenF -52</t>
  </si>
  <si>
    <t>SenF -57</t>
  </si>
  <si>
    <t>SenM -60</t>
  </si>
  <si>
    <t>SenF -63</t>
  </si>
  <si>
    <t>Club judo St-Leonard</t>
  </si>
  <si>
    <t>SenM -66</t>
  </si>
  <si>
    <t>Creston Judo Club</t>
  </si>
  <si>
    <t xml:space="preserve">Brae </t>
  </si>
  <si>
    <t>Booth</t>
  </si>
  <si>
    <t>SenF -78</t>
  </si>
  <si>
    <t>Malik</t>
  </si>
  <si>
    <t>SenM -90</t>
  </si>
  <si>
    <t>SenM -100</t>
  </si>
  <si>
    <t>U14M +66</t>
  </si>
  <si>
    <t>U14M -31</t>
  </si>
  <si>
    <t>U14M -34</t>
  </si>
  <si>
    <t>U14F -36</t>
  </si>
  <si>
    <t>U14M -38</t>
  </si>
  <si>
    <t>Club de judo Métropolitain inc.</t>
  </si>
  <si>
    <t>U14F -40</t>
  </si>
  <si>
    <t>U14M -42</t>
  </si>
  <si>
    <t>U14F -44</t>
  </si>
  <si>
    <t>U14M -46</t>
  </si>
  <si>
    <t>U14F -48</t>
  </si>
  <si>
    <t>U14M -50</t>
  </si>
  <si>
    <t>U14F -52</t>
  </si>
  <si>
    <t>U14M -55</t>
  </si>
  <si>
    <t>U14F -57</t>
  </si>
  <si>
    <t>U14M -60</t>
  </si>
  <si>
    <t>U14M -66</t>
  </si>
  <si>
    <t>U16M +73</t>
  </si>
  <si>
    <t>U16F +70</t>
  </si>
  <si>
    <t>U16F -36</t>
  </si>
  <si>
    <t>U16M -38</t>
  </si>
  <si>
    <t>Early bloomer JC</t>
  </si>
  <si>
    <t>Early bloomer U14</t>
  </si>
  <si>
    <t>U16F -40</t>
  </si>
  <si>
    <t>U16M -42</t>
  </si>
  <si>
    <t>U16F -44</t>
  </si>
  <si>
    <t>U16M -46</t>
  </si>
  <si>
    <t>U16F -48</t>
  </si>
  <si>
    <t>U16M -50</t>
  </si>
  <si>
    <t>U16F -52</t>
  </si>
  <si>
    <t>U16M -55</t>
  </si>
  <si>
    <t>U16F -57</t>
  </si>
  <si>
    <t>U16M -60</t>
  </si>
  <si>
    <t>U16F -63</t>
  </si>
  <si>
    <t>U16F -70</t>
  </si>
  <si>
    <t>U16M -73</t>
  </si>
  <si>
    <t>U</t>
  </si>
  <si>
    <t>U18M +90</t>
  </si>
  <si>
    <t>U18F +70</t>
  </si>
  <si>
    <t>+70</t>
  </si>
  <si>
    <t>U18F -44</t>
  </si>
  <si>
    <t>U18M -46</t>
  </si>
  <si>
    <t>2k+</t>
  </si>
  <si>
    <t>Early bloomer U16</t>
  </si>
  <si>
    <t>U18F -48</t>
  </si>
  <si>
    <t>U18M -50</t>
  </si>
  <si>
    <t>U18F -52</t>
  </si>
  <si>
    <t>Toronto Judo Kai</t>
  </si>
  <si>
    <t>U18M -55</t>
  </si>
  <si>
    <t>U18F -57</t>
  </si>
  <si>
    <t>U18M -60</t>
  </si>
  <si>
    <t>U18F -63</t>
  </si>
  <si>
    <t>U18M -66</t>
  </si>
  <si>
    <t>U18F -70</t>
  </si>
  <si>
    <t>U18M -73</t>
  </si>
  <si>
    <t>U18M -81</t>
  </si>
  <si>
    <t>U18M -90</t>
  </si>
  <si>
    <t>U21M +100</t>
  </si>
  <si>
    <t>U21F -48</t>
  </si>
  <si>
    <t>U21F -52</t>
  </si>
  <si>
    <t>U21M -55</t>
  </si>
  <si>
    <t>U21F -57</t>
  </si>
  <si>
    <t>aussi Ne-waza</t>
  </si>
  <si>
    <t>U21M -60</t>
  </si>
  <si>
    <t>U21F -63</t>
  </si>
  <si>
    <t>U21M -66</t>
  </si>
  <si>
    <t>booth</t>
  </si>
  <si>
    <t>U21F -70</t>
  </si>
  <si>
    <t>U21M -73</t>
  </si>
  <si>
    <t>U21M -81</t>
  </si>
  <si>
    <t>U21M -90</t>
  </si>
  <si>
    <t xml:space="preserve">U21  </t>
  </si>
  <si>
    <t xml:space="preserve">U21   </t>
  </si>
  <si>
    <t>Y18</t>
  </si>
  <si>
    <t>Réglé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</si>
</sst>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herrien/AppData/Local/Microsoft/Windows/INetCache/Content.Outlook/BDL60U7J/Judo%20BC%20Athlete%20&amp;%20Coach%20registration%20for%20Quebec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"/>
      <sheetName val="Feuil2"/>
    </sheetNames>
    <sheetDataSet>
      <sheetData sheetId="0"/>
      <sheetData sheetId="1">
        <row r="1">
          <cell r="A1" t="str">
            <v>F</v>
          </cell>
        </row>
        <row r="2">
          <cell r="A2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A11" sqref="A11:H11"/>
    </sheetView>
  </sheetViews>
  <sheetFormatPr baseColWidth="10" defaultColWidth="9.140625" defaultRowHeight="15" x14ac:dyDescent="0.25"/>
  <cols>
    <col min="2" max="2" width="27.5703125" customWidth="1"/>
    <col min="15" max="15" width="26.57031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tr">
        <f>"PROVINCE/STATE (CANADA/US) OR COUNTRY"</f>
        <v>PROVINCE/STATE (CANADA/US) OR COUNTRY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tr">
        <f>"BELT RANK"</f>
        <v>BELT RANK</v>
      </c>
      <c r="K1" s="1" t="s">
        <v>8</v>
      </c>
      <c r="L1" s="1" t="s">
        <v>9</v>
      </c>
      <c r="M1" s="1" t="str">
        <f>"WEIGHT FOR ADDITIONAL DIVISION IF APPLICABLE"</f>
        <v>WEIGHT FOR ADDITIONAL DIVISION IF APPLICABLE</v>
      </c>
      <c r="N1" s="1" t="s">
        <v>10</v>
      </c>
      <c r="O1" s="1" t="s">
        <v>11</v>
      </c>
      <c r="P1" s="3" t="s">
        <v>12</v>
      </c>
    </row>
    <row r="2" spans="1:17" x14ac:dyDescent="0.25">
      <c r="A2" s="1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5">
        <v>1986</v>
      </c>
      <c r="J2" s="4" t="s">
        <v>21</v>
      </c>
      <c r="K2" s="4" t="s">
        <v>22</v>
      </c>
      <c r="L2" s="4" t="s">
        <v>23</v>
      </c>
      <c r="M2" s="4" t="s">
        <v>13</v>
      </c>
      <c r="N2" s="4">
        <v>1</v>
      </c>
      <c r="O2" s="4" t="s">
        <v>24</v>
      </c>
      <c r="P2" t="s">
        <v>25</v>
      </c>
    </row>
    <row r="3" spans="1:17" x14ac:dyDescent="0.25">
      <c r="A3" s="1" t="s">
        <v>13</v>
      </c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5">
        <v>1965</v>
      </c>
      <c r="J3" s="4" t="s">
        <v>33</v>
      </c>
      <c r="K3" s="4" t="s">
        <v>22</v>
      </c>
      <c r="L3" s="4" t="s">
        <v>34</v>
      </c>
      <c r="M3" s="4" t="s">
        <v>35</v>
      </c>
      <c r="N3" s="4">
        <v>1</v>
      </c>
      <c r="O3" s="4" t="s">
        <v>36</v>
      </c>
      <c r="P3" s="6" t="s">
        <v>37</v>
      </c>
    </row>
    <row r="4" spans="1:17" x14ac:dyDescent="0.25">
      <c r="A4" s="1" t="s">
        <v>13</v>
      </c>
      <c r="B4" s="4" t="s">
        <v>38</v>
      </c>
      <c r="C4" s="4" t="s">
        <v>15</v>
      </c>
      <c r="D4" s="4" t="s">
        <v>16</v>
      </c>
      <c r="E4" s="4" t="s">
        <v>39</v>
      </c>
      <c r="F4" s="4" t="s">
        <v>40</v>
      </c>
      <c r="G4" s="4" t="s">
        <v>41</v>
      </c>
      <c r="H4" s="4" t="s">
        <v>20</v>
      </c>
      <c r="I4" s="5">
        <v>1980</v>
      </c>
      <c r="J4" s="4" t="s">
        <v>21</v>
      </c>
      <c r="K4" s="4" t="s">
        <v>22</v>
      </c>
      <c r="L4" s="4" t="s">
        <v>42</v>
      </c>
      <c r="M4" s="4" t="s">
        <v>13</v>
      </c>
      <c r="N4" s="4">
        <v>2</v>
      </c>
      <c r="O4" s="4" t="s">
        <v>43</v>
      </c>
      <c r="P4" t="s">
        <v>44</v>
      </c>
    </row>
    <row r="5" spans="1:17" x14ac:dyDescent="0.25">
      <c r="A5" s="1" t="s">
        <v>13</v>
      </c>
      <c r="B5" s="4" t="s">
        <v>45</v>
      </c>
      <c r="C5" s="4" t="s">
        <v>27</v>
      </c>
      <c r="D5" s="4" t="s">
        <v>28</v>
      </c>
      <c r="E5" s="4" t="s">
        <v>46</v>
      </c>
      <c r="F5" s="4" t="s">
        <v>47</v>
      </c>
      <c r="G5" s="4" t="s">
        <v>48</v>
      </c>
      <c r="H5" s="4" t="s">
        <v>20</v>
      </c>
      <c r="I5" s="5">
        <v>1978</v>
      </c>
      <c r="J5" s="4" t="s">
        <v>21</v>
      </c>
      <c r="K5" s="4" t="s">
        <v>22</v>
      </c>
      <c r="L5" s="4" t="s">
        <v>49</v>
      </c>
      <c r="M5" s="4" t="s">
        <v>50</v>
      </c>
      <c r="N5" s="4">
        <v>3</v>
      </c>
      <c r="O5" s="4" t="s">
        <v>24</v>
      </c>
      <c r="P5" t="s">
        <v>51</v>
      </c>
    </row>
    <row r="6" spans="1:17" x14ac:dyDescent="0.25">
      <c r="A6" s="1" t="s">
        <v>13</v>
      </c>
      <c r="B6" s="4" t="s">
        <v>38</v>
      </c>
      <c r="C6" s="4" t="s">
        <v>15</v>
      </c>
      <c r="D6" s="4" t="s">
        <v>16</v>
      </c>
      <c r="E6" s="4" t="s">
        <v>39</v>
      </c>
      <c r="F6" s="4" t="s">
        <v>40</v>
      </c>
      <c r="G6" s="4" t="s">
        <v>41</v>
      </c>
      <c r="H6" s="4" t="s">
        <v>20</v>
      </c>
      <c r="I6" s="5">
        <v>1980</v>
      </c>
      <c r="J6" s="4" t="s">
        <v>21</v>
      </c>
      <c r="K6" s="4" t="s">
        <v>52</v>
      </c>
      <c r="L6" s="4" t="s">
        <v>42</v>
      </c>
      <c r="M6" s="4" t="s">
        <v>13</v>
      </c>
      <c r="N6" s="4">
        <v>2</v>
      </c>
      <c r="O6" s="4" t="s">
        <v>53</v>
      </c>
      <c r="P6" t="s">
        <v>54</v>
      </c>
    </row>
    <row r="7" spans="1:17" x14ac:dyDescent="0.25">
      <c r="A7" s="1" t="s">
        <v>13</v>
      </c>
      <c r="B7" s="4" t="s">
        <v>45</v>
      </c>
      <c r="C7" s="4" t="s">
        <v>27</v>
      </c>
      <c r="D7" s="4" t="s">
        <v>28</v>
      </c>
      <c r="E7" s="4" t="s">
        <v>46</v>
      </c>
      <c r="F7" s="4" t="s">
        <v>47</v>
      </c>
      <c r="G7" s="4" t="s">
        <v>48</v>
      </c>
      <c r="H7" s="4" t="s">
        <v>20</v>
      </c>
      <c r="I7" s="5">
        <v>1978</v>
      </c>
      <c r="J7" s="4" t="s">
        <v>21</v>
      </c>
      <c r="K7" s="4" t="s">
        <v>52</v>
      </c>
      <c r="L7" s="4" t="s">
        <v>49</v>
      </c>
      <c r="M7" s="4" t="s">
        <v>50</v>
      </c>
      <c r="N7" s="4">
        <v>3</v>
      </c>
      <c r="O7" s="4" t="s">
        <v>24</v>
      </c>
      <c r="P7" t="s">
        <v>54</v>
      </c>
    </row>
    <row r="8" spans="1:17" x14ac:dyDescent="0.25">
      <c r="A8" s="1" t="s">
        <v>13</v>
      </c>
      <c r="B8" s="4" t="s">
        <v>55</v>
      </c>
      <c r="C8" s="4" t="s">
        <v>27</v>
      </c>
      <c r="D8" s="4" t="s">
        <v>28</v>
      </c>
      <c r="E8" s="4" t="s">
        <v>56</v>
      </c>
      <c r="F8" s="4" t="s">
        <v>57</v>
      </c>
      <c r="G8" s="4" t="s">
        <v>58</v>
      </c>
      <c r="H8" s="4" t="s">
        <v>20</v>
      </c>
      <c r="I8" s="5">
        <v>1992</v>
      </c>
      <c r="J8" s="4" t="s">
        <v>21</v>
      </c>
      <c r="K8" s="4" t="s">
        <v>59</v>
      </c>
      <c r="L8" s="4" t="s">
        <v>49</v>
      </c>
      <c r="M8" s="4" t="s">
        <v>13</v>
      </c>
      <c r="N8" s="4">
        <v>2</v>
      </c>
      <c r="O8" s="4" t="s">
        <v>24</v>
      </c>
      <c r="P8" t="s">
        <v>60</v>
      </c>
    </row>
    <row r="9" spans="1:17" x14ac:dyDescent="0.25">
      <c r="A9" s="1" t="s">
        <v>13</v>
      </c>
      <c r="B9" s="10" t="s">
        <v>61</v>
      </c>
      <c r="C9" s="10" t="s">
        <v>27</v>
      </c>
      <c r="D9" s="10" t="s">
        <v>28</v>
      </c>
      <c r="E9" s="10" t="s">
        <v>62</v>
      </c>
      <c r="F9" s="10" t="s">
        <v>63</v>
      </c>
      <c r="G9" s="10" t="s">
        <v>64</v>
      </c>
      <c r="H9" s="10" t="s">
        <v>32</v>
      </c>
      <c r="I9" s="15">
        <v>2002</v>
      </c>
      <c r="J9" s="10" t="s">
        <v>21</v>
      </c>
      <c r="K9" s="10" t="s">
        <v>65</v>
      </c>
      <c r="L9" s="10" t="s">
        <v>66</v>
      </c>
      <c r="M9" s="10" t="s">
        <v>13</v>
      </c>
      <c r="N9" s="10">
        <v>2</v>
      </c>
      <c r="O9" s="10" t="s">
        <v>67</v>
      </c>
      <c r="P9" s="16" t="s">
        <v>68</v>
      </c>
      <c r="Q9" s="16" t="s">
        <v>323</v>
      </c>
    </row>
    <row r="10" spans="1:17" x14ac:dyDescent="0.25">
      <c r="A10" s="1" t="s">
        <v>13</v>
      </c>
      <c r="B10" s="10" t="s">
        <v>69</v>
      </c>
      <c r="C10" s="10" t="s">
        <v>27</v>
      </c>
      <c r="D10" s="10" t="s">
        <v>70</v>
      </c>
      <c r="E10" s="10" t="s">
        <v>71</v>
      </c>
      <c r="F10" s="10" t="s">
        <v>72</v>
      </c>
      <c r="G10" s="10" t="s">
        <v>58</v>
      </c>
      <c r="H10" s="10" t="s">
        <v>32</v>
      </c>
      <c r="I10" s="15">
        <v>1997</v>
      </c>
      <c r="J10" s="10" t="s">
        <v>73</v>
      </c>
      <c r="K10" s="10" t="s">
        <v>65</v>
      </c>
      <c r="L10" s="10" t="s">
        <v>34</v>
      </c>
      <c r="M10" s="10" t="s">
        <v>13</v>
      </c>
      <c r="N10" s="10">
        <v>1</v>
      </c>
      <c r="O10" s="10" t="s">
        <v>74</v>
      </c>
      <c r="P10" s="16" t="s">
        <v>75</v>
      </c>
      <c r="Q10" s="16" t="s">
        <v>323</v>
      </c>
    </row>
    <row r="11" spans="1:17" x14ac:dyDescent="0.25">
      <c r="A11" s="1" t="s">
        <v>13</v>
      </c>
      <c r="B11" s="1" t="s">
        <v>76</v>
      </c>
      <c r="C11" s="1" t="s">
        <v>27</v>
      </c>
      <c r="D11" s="1" t="s">
        <v>28</v>
      </c>
      <c r="E11" s="1" t="s">
        <v>77</v>
      </c>
      <c r="F11" s="1" t="s">
        <v>78</v>
      </c>
      <c r="G11" s="1" t="s">
        <v>79</v>
      </c>
      <c r="H11" s="1" t="s">
        <v>32</v>
      </c>
      <c r="I11" s="2">
        <v>1993</v>
      </c>
      <c r="J11" s="4" t="s">
        <v>80</v>
      </c>
      <c r="K11" s="4" t="s">
        <v>65</v>
      </c>
      <c r="L11" s="1" t="s">
        <v>34</v>
      </c>
      <c r="M11" s="1" t="s">
        <v>13</v>
      </c>
      <c r="N11" s="1">
        <v>1</v>
      </c>
      <c r="O11" s="1" t="s">
        <v>74</v>
      </c>
      <c r="P11" t="s">
        <v>75</v>
      </c>
    </row>
    <row r="12" spans="1:17" x14ac:dyDescent="0.25">
      <c r="A12" s="10" t="s">
        <v>13</v>
      </c>
      <c r="B12" s="10" t="s">
        <v>81</v>
      </c>
      <c r="C12" s="10" t="s">
        <v>82</v>
      </c>
      <c r="D12" s="10" t="s">
        <v>70</v>
      </c>
      <c r="E12" s="10" t="s">
        <v>83</v>
      </c>
      <c r="F12" s="10" t="s">
        <v>84</v>
      </c>
      <c r="G12" s="10" t="s">
        <v>85</v>
      </c>
      <c r="H12" s="10" t="s">
        <v>20</v>
      </c>
      <c r="I12" s="15">
        <v>2003</v>
      </c>
      <c r="J12" s="10" t="s">
        <v>73</v>
      </c>
      <c r="K12" s="10" t="s">
        <v>65</v>
      </c>
      <c r="L12" s="10" t="s">
        <v>23</v>
      </c>
      <c r="M12" s="10" t="s">
        <v>13</v>
      </c>
      <c r="N12" s="10">
        <v>2</v>
      </c>
      <c r="O12" s="10" t="s">
        <v>86</v>
      </c>
      <c r="P12" s="16" t="s">
        <v>87</v>
      </c>
      <c r="Q12" s="16" t="s">
        <v>323</v>
      </c>
    </row>
    <row r="13" spans="1:17" x14ac:dyDescent="0.25">
      <c r="A13" s="10" t="s">
        <v>88</v>
      </c>
      <c r="B13" s="10" t="s">
        <v>69</v>
      </c>
      <c r="C13" s="10" t="s">
        <v>27</v>
      </c>
      <c r="D13" s="10" t="s">
        <v>28</v>
      </c>
      <c r="E13" s="10" t="s">
        <v>89</v>
      </c>
      <c r="F13" s="10" t="s">
        <v>90</v>
      </c>
      <c r="G13" s="10" t="s">
        <v>58</v>
      </c>
      <c r="H13" s="10" t="s">
        <v>32</v>
      </c>
      <c r="I13" s="15">
        <v>1997</v>
      </c>
      <c r="J13" s="10" t="s">
        <v>80</v>
      </c>
      <c r="K13" s="10" t="s">
        <v>65</v>
      </c>
      <c r="L13" s="10" t="s">
        <v>91</v>
      </c>
      <c r="M13" s="10" t="s">
        <v>13</v>
      </c>
      <c r="N13" s="10">
        <v>1</v>
      </c>
      <c r="O13" s="10" t="s">
        <v>74</v>
      </c>
      <c r="P13" s="16" t="s">
        <v>92</v>
      </c>
      <c r="Q13" s="16" t="s">
        <v>323</v>
      </c>
    </row>
    <row r="14" spans="1:17" x14ac:dyDescent="0.25">
      <c r="A14" s="10" t="s">
        <v>13</v>
      </c>
      <c r="B14" s="10" t="s">
        <v>93</v>
      </c>
      <c r="C14" s="10" t="s">
        <v>15</v>
      </c>
      <c r="D14" s="10" t="s">
        <v>16</v>
      </c>
      <c r="E14" s="10" t="s">
        <v>94</v>
      </c>
      <c r="F14" s="10" t="s">
        <v>95</v>
      </c>
      <c r="G14" s="10" t="s">
        <v>96</v>
      </c>
      <c r="H14" s="10" t="s">
        <v>32</v>
      </c>
      <c r="I14" s="15">
        <v>1996</v>
      </c>
      <c r="J14" s="10" t="s">
        <v>80</v>
      </c>
      <c r="K14" s="10" t="s">
        <v>65</v>
      </c>
      <c r="L14" s="10" t="s">
        <v>91</v>
      </c>
      <c r="M14" s="10" t="s">
        <v>13</v>
      </c>
      <c r="N14" s="10">
        <v>1</v>
      </c>
      <c r="O14" s="10" t="s">
        <v>74</v>
      </c>
      <c r="P14" s="16" t="s">
        <v>92</v>
      </c>
      <c r="Q14" s="16" t="s">
        <v>323</v>
      </c>
    </row>
    <row r="15" spans="1:17" x14ac:dyDescent="0.25">
      <c r="A15" s="1" t="s">
        <v>13</v>
      </c>
      <c r="B15" s="4" t="s">
        <v>97</v>
      </c>
      <c r="C15" s="4" t="s">
        <v>15</v>
      </c>
      <c r="D15" s="4" t="s">
        <v>16</v>
      </c>
      <c r="E15" s="4" t="s">
        <v>98</v>
      </c>
      <c r="F15" s="4" t="s">
        <v>99</v>
      </c>
      <c r="G15" s="4" t="s">
        <v>100</v>
      </c>
      <c r="H15" s="4" t="s">
        <v>20</v>
      </c>
      <c r="I15" s="5">
        <v>2007</v>
      </c>
      <c r="J15" s="4" t="s">
        <v>73</v>
      </c>
      <c r="K15" s="4" t="s">
        <v>101</v>
      </c>
      <c r="L15" s="4" t="s">
        <v>102</v>
      </c>
      <c r="M15" s="4" t="s">
        <v>13</v>
      </c>
      <c r="N15" s="4">
        <v>1</v>
      </c>
      <c r="O15" s="4" t="s">
        <v>103</v>
      </c>
      <c r="P15" s="6" t="s">
        <v>104</v>
      </c>
    </row>
    <row r="16" spans="1:17" x14ac:dyDescent="0.25">
      <c r="A16" s="1" t="s">
        <v>13</v>
      </c>
      <c r="B16" s="4" t="s">
        <v>105</v>
      </c>
      <c r="C16" s="4" t="s">
        <v>106</v>
      </c>
      <c r="D16" s="4" t="s">
        <v>107</v>
      </c>
      <c r="E16" s="4" t="s">
        <v>108</v>
      </c>
      <c r="F16" s="4" t="s">
        <v>109</v>
      </c>
      <c r="G16" s="4" t="s">
        <v>58</v>
      </c>
      <c r="H16" s="4" t="s">
        <v>32</v>
      </c>
      <c r="I16" s="5">
        <v>2001</v>
      </c>
      <c r="J16" s="4" t="s">
        <v>110</v>
      </c>
      <c r="K16" s="4" t="s">
        <v>111</v>
      </c>
      <c r="L16" s="4" t="s">
        <v>112</v>
      </c>
      <c r="M16" s="4" t="s">
        <v>13</v>
      </c>
      <c r="N16" s="4">
        <v>2</v>
      </c>
      <c r="O16" s="4" t="s">
        <v>113</v>
      </c>
      <c r="P16" t="s">
        <v>114</v>
      </c>
    </row>
    <row r="17" spans="1:16" x14ac:dyDescent="0.25">
      <c r="A17" s="1" t="s">
        <v>13</v>
      </c>
      <c r="B17" s="4" t="s">
        <v>115</v>
      </c>
      <c r="C17" s="4" t="s">
        <v>116</v>
      </c>
      <c r="D17" s="4" t="s">
        <v>117</v>
      </c>
      <c r="E17" s="4" t="s">
        <v>118</v>
      </c>
      <c r="F17" s="4" t="s">
        <v>119</v>
      </c>
      <c r="G17" s="4" t="s">
        <v>120</v>
      </c>
      <c r="H17" s="4" t="s">
        <v>20</v>
      </c>
      <c r="I17" s="5">
        <v>2004</v>
      </c>
      <c r="J17" s="4" t="s">
        <v>73</v>
      </c>
      <c r="K17" s="4" t="s">
        <v>121</v>
      </c>
      <c r="L17" s="4" t="s">
        <v>122</v>
      </c>
      <c r="M17" s="4" t="s">
        <v>122</v>
      </c>
      <c r="N17" s="4">
        <v>2</v>
      </c>
      <c r="O17" s="4" t="s">
        <v>123</v>
      </c>
      <c r="P17" s="6" t="s">
        <v>124</v>
      </c>
    </row>
    <row r="18" spans="1:16" x14ac:dyDescent="0.25">
      <c r="A18" s="1" t="s">
        <v>13</v>
      </c>
      <c r="B18" s="4" t="s">
        <v>125</v>
      </c>
      <c r="C18" s="4" t="s">
        <v>15</v>
      </c>
      <c r="D18" s="4" t="s">
        <v>16</v>
      </c>
      <c r="E18" s="4" t="s">
        <v>126</v>
      </c>
      <c r="F18" s="4" t="s">
        <v>127</v>
      </c>
      <c r="G18" s="4" t="s">
        <v>128</v>
      </c>
      <c r="H18" s="4" t="s">
        <v>32</v>
      </c>
      <c r="I18" s="5">
        <v>1999</v>
      </c>
      <c r="J18" s="4" t="s">
        <v>110</v>
      </c>
      <c r="K18" s="4" t="s">
        <v>129</v>
      </c>
      <c r="L18" s="4" t="s">
        <v>130</v>
      </c>
      <c r="M18" s="4" t="s">
        <v>13</v>
      </c>
      <c r="N18" s="4">
        <v>2</v>
      </c>
      <c r="O18" s="4" t="s">
        <v>131</v>
      </c>
      <c r="P18" t="s">
        <v>132</v>
      </c>
    </row>
    <row r="19" spans="1:16" x14ac:dyDescent="0.25">
      <c r="A19" s="1" t="s">
        <v>13</v>
      </c>
      <c r="B19" s="4" t="s">
        <v>133</v>
      </c>
      <c r="C19" s="4" t="s">
        <v>15</v>
      </c>
      <c r="D19" s="4" t="s">
        <v>16</v>
      </c>
      <c r="E19" s="4" t="s">
        <v>134</v>
      </c>
      <c r="F19" s="4" t="s">
        <v>135</v>
      </c>
      <c r="G19" s="4" t="s">
        <v>136</v>
      </c>
      <c r="H19" s="4" t="s">
        <v>20</v>
      </c>
      <c r="I19" s="5">
        <v>2001</v>
      </c>
      <c r="J19" s="4" t="s">
        <v>110</v>
      </c>
      <c r="K19" s="4" t="s">
        <v>129</v>
      </c>
      <c r="L19" s="4" t="s">
        <v>49</v>
      </c>
      <c r="M19" s="4" t="s">
        <v>13</v>
      </c>
      <c r="N19" s="4">
        <v>2</v>
      </c>
      <c r="O19" s="1" t="s">
        <v>137</v>
      </c>
      <c r="P19" t="s">
        <v>138</v>
      </c>
    </row>
    <row r="20" spans="1:16" x14ac:dyDescent="0.25">
      <c r="A20" s="1" t="s">
        <v>13</v>
      </c>
      <c r="B20" s="4" t="s">
        <v>125</v>
      </c>
      <c r="C20" s="4" t="s">
        <v>15</v>
      </c>
      <c r="D20" s="4" t="s">
        <v>16</v>
      </c>
      <c r="E20" s="4" t="s">
        <v>139</v>
      </c>
      <c r="F20" s="4" t="s">
        <v>140</v>
      </c>
      <c r="G20" s="4" t="s">
        <v>141</v>
      </c>
      <c r="H20" s="4" t="s">
        <v>20</v>
      </c>
      <c r="I20" s="5">
        <v>2001</v>
      </c>
      <c r="J20" s="4" t="s">
        <v>110</v>
      </c>
      <c r="K20" s="4" t="s">
        <v>129</v>
      </c>
      <c r="L20" s="4" t="s">
        <v>142</v>
      </c>
      <c r="M20" s="4" t="s">
        <v>13</v>
      </c>
      <c r="N20" s="4">
        <v>2</v>
      </c>
      <c r="O20" s="1" t="s">
        <v>143</v>
      </c>
      <c r="P20" t="s">
        <v>144</v>
      </c>
    </row>
    <row r="29" spans="1:16" x14ac:dyDescent="0.25">
      <c r="A29" t="s">
        <v>145</v>
      </c>
    </row>
    <row r="31" spans="1:16" x14ac:dyDescent="0.25">
      <c r="A31" s="1" t="str">
        <f>""</f>
        <v/>
      </c>
      <c r="B31" s="1" t="str">
        <f>"Nakamura Judo Club"</f>
        <v>Nakamura Judo Club</v>
      </c>
      <c r="C31" s="1" t="str">
        <f>"MB"</f>
        <v>MB</v>
      </c>
      <c r="D31" s="1" t="str">
        <f>"Manitoba"</f>
        <v>Manitoba</v>
      </c>
      <c r="E31" s="1" t="str">
        <f>"Kadin"</f>
        <v>Kadin</v>
      </c>
      <c r="F31" s="1" t="str">
        <f>"Christ-Bonnell"</f>
        <v>Christ-Bonnell</v>
      </c>
      <c r="G31" s="1" t="str">
        <f>"0191645"</f>
        <v>0191645</v>
      </c>
      <c r="H31" s="1" t="str">
        <f t="shared" ref="H31:H32" si="0">"M"</f>
        <v>M</v>
      </c>
      <c r="I31" s="2">
        <v>2002</v>
      </c>
      <c r="J31" s="1" t="str">
        <f>"1k"</f>
        <v>1k</v>
      </c>
      <c r="K31" s="4" t="s">
        <v>65</v>
      </c>
      <c r="L31" s="4" t="str">
        <f>"-55"</f>
        <v>-55</v>
      </c>
      <c r="M31" s="1" t="str">
        <f>""</f>
        <v/>
      </c>
      <c r="N31" s="1">
        <v>2</v>
      </c>
      <c r="O31" s="1" t="s">
        <v>146</v>
      </c>
    </row>
    <row r="32" spans="1:16" x14ac:dyDescent="0.25">
      <c r="A32" s="1" t="str">
        <f>""</f>
        <v/>
      </c>
      <c r="B32" s="1" t="str">
        <f>"Club de Judo Boucherville inc."</f>
        <v>Club de Judo Boucherville inc.</v>
      </c>
      <c r="C32" s="1" t="str">
        <f>"QC"</f>
        <v>QC</v>
      </c>
      <c r="D32" s="1" t="str">
        <f>"Quebec"</f>
        <v>Quebec</v>
      </c>
      <c r="E32" s="1" t="str">
        <f>"Mathis"</f>
        <v>Mathis</v>
      </c>
      <c r="F32" s="1" t="str">
        <f>"Guertin"</f>
        <v>Guertin</v>
      </c>
      <c r="G32" s="1" t="str">
        <f>"0156153"</f>
        <v>0156153</v>
      </c>
      <c r="H32" s="1" t="str">
        <f t="shared" si="0"/>
        <v>M</v>
      </c>
      <c r="I32" s="2">
        <v>2002</v>
      </c>
      <c r="J32" s="1" t="str">
        <f>"1D"</f>
        <v>1D</v>
      </c>
      <c r="K32" s="4" t="s">
        <v>65</v>
      </c>
      <c r="L32" s="4" t="str">
        <f>"-55"</f>
        <v>-55</v>
      </c>
      <c r="M32" s="1" t="str">
        <f>"-55kg"</f>
        <v>-55kg</v>
      </c>
      <c r="N32" s="1">
        <v>2</v>
      </c>
      <c r="O32" s="1" t="s">
        <v>147</v>
      </c>
    </row>
    <row r="33" spans="1:15" x14ac:dyDescent="0.25">
      <c r="A33" s="1" t="str">
        <f>""</f>
        <v/>
      </c>
      <c r="B33" s="1" t="str">
        <f>"Centre Budo Kwai Quebec Inc"</f>
        <v>Centre Budo Kwai Quebec Inc</v>
      </c>
      <c r="C33" s="1" t="str">
        <f>"QC"</f>
        <v>QC</v>
      </c>
      <c r="D33" s="1" t="str">
        <f>"Quebec"</f>
        <v>Quebec</v>
      </c>
      <c r="E33" s="1" t="str">
        <f>"Samuel"</f>
        <v>Samuel</v>
      </c>
      <c r="F33" s="1" t="str">
        <f>"Roberge"</f>
        <v>Roberge</v>
      </c>
      <c r="G33" s="1" t="str">
        <f>"0240299"</f>
        <v>0240299</v>
      </c>
      <c r="H33" s="1" t="str">
        <f>"M"</f>
        <v>M</v>
      </c>
      <c r="I33" s="2">
        <v>1978</v>
      </c>
      <c r="J33" s="4" t="str">
        <f>"3k"</f>
        <v>3k</v>
      </c>
      <c r="K33" s="4" t="str">
        <f>"Senior"</f>
        <v>Senior</v>
      </c>
      <c r="L33" s="1" t="str">
        <f>"+100"</f>
        <v>+100</v>
      </c>
      <c r="M33" s="1" t="str">
        <f>""</f>
        <v/>
      </c>
      <c r="N33" s="1">
        <v>1</v>
      </c>
      <c r="O33" s="1" t="s">
        <v>147</v>
      </c>
    </row>
    <row r="34" spans="1:15" x14ac:dyDescent="0.25">
      <c r="A34" s="1" t="str">
        <f>"2018-10-22 14:49:56"</f>
        <v>2018-10-22 14:49:56</v>
      </c>
      <c r="B34" s="1" t="str">
        <f>"Hiro's Judo Club"</f>
        <v>Hiro's Judo Club</v>
      </c>
      <c r="C34" s="1" t="str">
        <f>"AB"</f>
        <v>AB</v>
      </c>
      <c r="D34" s="1" t="str">
        <f>"Alberta"</f>
        <v>Alberta</v>
      </c>
      <c r="E34" s="1" t="str">
        <f>"Katsuji"</f>
        <v>Katsuji</v>
      </c>
      <c r="F34" s="1" t="str">
        <f>"Leung"</f>
        <v>Leung</v>
      </c>
      <c r="G34" s="1" t="str">
        <f>"0162149"</f>
        <v>0162149</v>
      </c>
      <c r="H34" s="1" t="str">
        <f>"M"</f>
        <v>M</v>
      </c>
      <c r="I34" s="2">
        <v>2004</v>
      </c>
      <c r="J34" s="1" t="str">
        <f t="shared" ref="J34:J39" si="1">"1k"</f>
        <v>1k</v>
      </c>
      <c r="K34" s="1" t="s">
        <v>111</v>
      </c>
      <c r="L34" s="1" t="str">
        <f>"-66"</f>
        <v>-66</v>
      </c>
      <c r="M34" s="1" t="str">
        <f>""</f>
        <v/>
      </c>
      <c r="N34" s="1">
        <v>2</v>
      </c>
      <c r="O34" s="1"/>
    </row>
    <row r="35" spans="1:15" x14ac:dyDescent="0.25">
      <c r="A35" s="1" t="str">
        <f>"2018-10-22 14:49:56"</f>
        <v>2018-10-22 14:49:56</v>
      </c>
      <c r="B35" s="1" t="str">
        <f>"Hiro's Judo Club"</f>
        <v>Hiro's Judo Club</v>
      </c>
      <c r="C35" s="1" t="str">
        <f>"AB"</f>
        <v>AB</v>
      </c>
      <c r="D35" s="1" t="str">
        <f>"Alberta"</f>
        <v>Alberta</v>
      </c>
      <c r="E35" s="1" t="str">
        <f>"Katsuji"</f>
        <v>Katsuji</v>
      </c>
      <c r="F35" s="1" t="str">
        <f>"Leung"</f>
        <v>Leung</v>
      </c>
      <c r="G35" s="1" t="str">
        <f>"0162149"</f>
        <v>0162149</v>
      </c>
      <c r="H35" s="1" t="str">
        <f>"M"</f>
        <v>M</v>
      </c>
      <c r="I35" s="2">
        <v>2004</v>
      </c>
      <c r="J35" s="1" t="str">
        <f t="shared" si="1"/>
        <v>1k</v>
      </c>
      <c r="K35" s="1" t="s">
        <v>121</v>
      </c>
      <c r="L35" s="1" t="str">
        <f>"-66"</f>
        <v>-66</v>
      </c>
      <c r="M35" s="1" t="str">
        <f>""</f>
        <v/>
      </c>
      <c r="N35" s="1">
        <v>2</v>
      </c>
      <c r="O35" s="1"/>
    </row>
    <row r="36" spans="1:15" x14ac:dyDescent="0.25">
      <c r="A36" s="1" t="str">
        <f>""</f>
        <v/>
      </c>
      <c r="B36" s="1" t="str">
        <f>"Tokugawa Judo Club"</f>
        <v>Tokugawa Judo Club</v>
      </c>
      <c r="C36" s="1" t="str">
        <f>"AB"</f>
        <v>AB</v>
      </c>
      <c r="D36" s="1" t="str">
        <f>"Alberta"</f>
        <v>Alberta</v>
      </c>
      <c r="E36" s="1" t="str">
        <f>"Jan"</f>
        <v>Jan</v>
      </c>
      <c r="F36" s="1" t="str">
        <f>"Prus-Czarnecki"</f>
        <v>Prus-Czarnecki</v>
      </c>
      <c r="G36" s="1" t="str">
        <f>"0170046"</f>
        <v>0170046</v>
      </c>
      <c r="H36" s="1" t="str">
        <f>"M"</f>
        <v>M</v>
      </c>
      <c r="I36" s="2">
        <v>2001</v>
      </c>
      <c r="J36" s="1" t="str">
        <f t="shared" si="1"/>
        <v>1k</v>
      </c>
      <c r="K36" s="1" t="str">
        <f>"U21"</f>
        <v>U21</v>
      </c>
      <c r="L36" s="1" t="str">
        <f>"-73"</f>
        <v>-73</v>
      </c>
      <c r="M36" s="1" t="str">
        <f>""</f>
        <v/>
      </c>
      <c r="N36" s="1">
        <v>1</v>
      </c>
      <c r="O36" s="1"/>
    </row>
    <row r="37" spans="1:15" x14ac:dyDescent="0.25">
      <c r="A37" s="1" t="str">
        <f>""</f>
        <v/>
      </c>
      <c r="B37" s="1" t="str">
        <f>"Dojo Zenshin"</f>
        <v>Dojo Zenshin</v>
      </c>
      <c r="C37" s="1" t="str">
        <f>"QC"</f>
        <v>QC</v>
      </c>
      <c r="D37" s="1" t="str">
        <f>"Quebec"</f>
        <v>Quebec</v>
      </c>
      <c r="E37" s="1" t="str">
        <f>"Matis"</f>
        <v>Matis</v>
      </c>
      <c r="F37" s="1" t="str">
        <f>"Ganet"</f>
        <v>Ganet</v>
      </c>
      <c r="G37" s="1" t="str">
        <f>"0229648"</f>
        <v>0229648</v>
      </c>
      <c r="H37" s="1" t="str">
        <f>"M"</f>
        <v>M</v>
      </c>
      <c r="I37" s="2">
        <v>2005</v>
      </c>
      <c r="J37" s="1" t="str">
        <f t="shared" si="1"/>
        <v>1k</v>
      </c>
      <c r="K37" s="1" t="str">
        <f>"U16"</f>
        <v>U16</v>
      </c>
      <c r="L37" s="1" t="str">
        <f>"-42"</f>
        <v>-42</v>
      </c>
      <c r="M37" s="1" t="str">
        <f>""</f>
        <v/>
      </c>
      <c r="N37" s="1">
        <v>1</v>
      </c>
      <c r="O37" s="1"/>
    </row>
    <row r="38" spans="1:15" x14ac:dyDescent="0.25">
      <c r="A38" s="1" t="str">
        <f>""</f>
        <v/>
      </c>
      <c r="B38" s="1" t="str">
        <f>"Lethbridge Kyodokan Judo Club"</f>
        <v>Lethbridge Kyodokan Judo Club</v>
      </c>
      <c r="C38" s="1" t="str">
        <f>"AB"</f>
        <v>AB</v>
      </c>
      <c r="D38" s="1" t="str">
        <f>"Alberta"</f>
        <v>Alberta</v>
      </c>
      <c r="E38" s="1" t="str">
        <f>"Annabelle"</f>
        <v>Annabelle</v>
      </c>
      <c r="F38" s="1" t="str">
        <f>"Darlow"</f>
        <v>Darlow</v>
      </c>
      <c r="G38" s="1" t="str">
        <f>"0199006"</f>
        <v>0199006</v>
      </c>
      <c r="H38" s="1" t="str">
        <f>"F"</f>
        <v>F</v>
      </c>
      <c r="I38" s="2">
        <v>2000</v>
      </c>
      <c r="J38" s="1" t="str">
        <f t="shared" si="1"/>
        <v>1k</v>
      </c>
      <c r="K38" s="1" t="s">
        <v>65</v>
      </c>
      <c r="L38" s="1" t="str">
        <f>"-78"</f>
        <v>-78</v>
      </c>
      <c r="M38" s="1" t="str">
        <f>""</f>
        <v/>
      </c>
      <c r="N38" s="1">
        <v>2</v>
      </c>
      <c r="O38" s="1"/>
    </row>
    <row r="39" spans="1:15" x14ac:dyDescent="0.25">
      <c r="A39" s="1" t="str">
        <f>""</f>
        <v/>
      </c>
      <c r="B39" s="1" t="str">
        <f>"Lethbridge Kyodokan Judo Club"</f>
        <v>Lethbridge Kyodokan Judo Club</v>
      </c>
      <c r="C39" s="1" t="str">
        <f>"AB"</f>
        <v>AB</v>
      </c>
      <c r="D39" s="1" t="str">
        <f>"Alberta"</f>
        <v>Alberta</v>
      </c>
      <c r="E39" s="1" t="str">
        <f>"Annabelle"</f>
        <v>Annabelle</v>
      </c>
      <c r="F39" s="1" t="str">
        <f>"Darlow"</f>
        <v>Darlow</v>
      </c>
      <c r="G39" s="1" t="str">
        <f>"0199006"</f>
        <v>0199006</v>
      </c>
      <c r="H39" s="1" t="str">
        <f>"F"</f>
        <v>F</v>
      </c>
      <c r="I39" s="2">
        <v>2000</v>
      </c>
      <c r="J39" s="1" t="str">
        <f t="shared" si="1"/>
        <v>1k</v>
      </c>
      <c r="K39" s="1" t="s">
        <v>129</v>
      </c>
      <c r="L39" s="1" t="str">
        <f>"-78"</f>
        <v>-78</v>
      </c>
      <c r="M39" s="1" t="str">
        <f>""</f>
        <v/>
      </c>
      <c r="N39" s="1">
        <v>2</v>
      </c>
      <c r="O3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2"/>
  <sheetViews>
    <sheetView workbookViewId="0">
      <pane xSplit="2" ySplit="1" topLeftCell="E146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baseColWidth="10" defaultColWidth="11.42578125" defaultRowHeight="15" x14ac:dyDescent="0.25"/>
  <cols>
    <col min="1" max="1" width="11.42578125" hidden="1" customWidth="1"/>
    <col min="2" max="2" width="8.85546875" customWidth="1"/>
    <col min="3" max="3" width="26" customWidth="1"/>
    <col min="4" max="4" width="7.7109375" customWidth="1"/>
    <col min="6" max="6" width="14.28515625" customWidth="1"/>
    <col min="7" max="7" width="16" customWidth="1"/>
    <col min="8" max="8" width="10.42578125" customWidth="1"/>
    <col min="9" max="9" width="6.7109375" customWidth="1"/>
    <col min="10" max="10" width="10.42578125" style="14" customWidth="1"/>
    <col min="11" max="11" width="7.85546875" customWidth="1"/>
    <col min="12" max="12" width="10.42578125" customWidth="1"/>
    <col min="15" max="15" width="6.28515625" customWidth="1"/>
    <col min="16" max="16" width="32.28515625" customWidth="1"/>
    <col min="17" max="17" width="17.140625" customWidth="1"/>
  </cols>
  <sheetData>
    <row r="1" spans="1:18" x14ac:dyDescent="0.25">
      <c r="A1" t="s">
        <v>148</v>
      </c>
      <c r="B1" s="1" t="s">
        <v>0</v>
      </c>
      <c r="C1" s="1" t="s">
        <v>1</v>
      </c>
      <c r="D1" s="1" t="s">
        <v>2</v>
      </c>
      <c r="E1" s="1" t="str">
        <f>"PROVINCE/STATE (CANADA/US) OR COUNTRY"</f>
        <v>PROVINCE/STATE (CANADA/US) OR COUNTRY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1" t="str">
        <f>"BELT RANK"</f>
        <v>BELT RANK</v>
      </c>
      <c r="L1" s="1" t="s">
        <v>8</v>
      </c>
      <c r="M1" s="1" t="s">
        <v>9</v>
      </c>
      <c r="N1" s="1" t="str">
        <f>"WEIGHT FOR ADDITIONAL DIVISION IF APPLICABLE"</f>
        <v>WEIGHT FOR ADDITIONAL DIVISION IF APPLICABLE</v>
      </c>
      <c r="O1" s="1" t="s">
        <v>10</v>
      </c>
      <c r="P1" s="1" t="s">
        <v>11</v>
      </c>
      <c r="Q1" s="3" t="s">
        <v>12</v>
      </c>
      <c r="R1" s="3" t="s">
        <v>149</v>
      </c>
    </row>
    <row r="2" spans="1:18" x14ac:dyDescent="0.25">
      <c r="A2" t="str">
        <f>"2018-10-02 19:57:14"</f>
        <v>2018-10-02 19:57:14</v>
      </c>
      <c r="B2" s="1" t="str">
        <f>""</f>
        <v/>
      </c>
      <c r="C2" s="1" t="str">
        <f>"Judo Blainville"</f>
        <v>Judo Blainville</v>
      </c>
      <c r="D2" s="1" t="str">
        <f>"QC"</f>
        <v>QC</v>
      </c>
      <c r="E2" s="1" t="str">
        <f>"Quebec"</f>
        <v>Quebec</v>
      </c>
      <c r="F2" s="1" t="str">
        <f>"Pierre"</f>
        <v>Pierre</v>
      </c>
      <c r="G2" s="1" t="str">
        <f>"Berube"</f>
        <v>Berube</v>
      </c>
      <c r="H2" s="1" t="str">
        <f>"0224955"</f>
        <v>0224955</v>
      </c>
      <c r="I2" s="1" t="str">
        <f>"M"</f>
        <v>M</v>
      </c>
      <c r="J2" s="2">
        <v>1972</v>
      </c>
      <c r="K2" s="1" t="str">
        <f>"2k"</f>
        <v>2k</v>
      </c>
      <c r="L2" s="1" t="str">
        <f>"Master"</f>
        <v>Master</v>
      </c>
      <c r="M2" s="1" t="str">
        <f>"+100"</f>
        <v>+100</v>
      </c>
      <c r="N2" s="1" t="s">
        <v>150</v>
      </c>
      <c r="O2" s="1">
        <v>1</v>
      </c>
      <c r="P2" s="1" t="s">
        <v>151</v>
      </c>
      <c r="Q2" t="s">
        <v>152</v>
      </c>
    </row>
    <row r="3" spans="1:18" x14ac:dyDescent="0.25">
      <c r="A3" t="str">
        <f>"2018-10-05 00:18:16"</f>
        <v>2018-10-05 00:18:16</v>
      </c>
      <c r="B3" s="1" t="str">
        <f>""</f>
        <v/>
      </c>
      <c r="C3" s="1" t="str">
        <f>"Club de judo Torii"</f>
        <v>Club de judo Torii</v>
      </c>
      <c r="D3" s="1" t="str">
        <f>"QC"</f>
        <v>QC</v>
      </c>
      <c r="E3" s="1" t="str">
        <f>"Quebec"</f>
        <v>Quebec</v>
      </c>
      <c r="F3" s="1" t="str">
        <f>"Mohammed Amine"</f>
        <v>Mohammed Amine</v>
      </c>
      <c r="G3" s="1" t="str">
        <f>"Boukhou"</f>
        <v>Boukhou</v>
      </c>
      <c r="H3" s="1" t="str">
        <f>"Club torii"</f>
        <v>Club torii</v>
      </c>
      <c r="I3" s="1" t="str">
        <f>"M"</f>
        <v>M</v>
      </c>
      <c r="J3" s="2">
        <v>1973</v>
      </c>
      <c r="K3" s="1" t="str">
        <f>"1k"</f>
        <v>1k</v>
      </c>
      <c r="L3" s="1" t="str">
        <f>"Master"</f>
        <v>Master</v>
      </c>
      <c r="M3" s="1" t="str">
        <f>"+100"</f>
        <v>+100</v>
      </c>
      <c r="N3" s="1" t="s">
        <v>150</v>
      </c>
      <c r="O3" s="1">
        <v>1</v>
      </c>
      <c r="P3" s="1" t="s">
        <v>151</v>
      </c>
      <c r="Q3" t="s">
        <v>152</v>
      </c>
    </row>
    <row r="4" spans="1:18" x14ac:dyDescent="0.25">
      <c r="A4" t="str">
        <f>"2018-10-15 22:16:27"</f>
        <v>2018-10-15 22:16:27</v>
      </c>
      <c r="B4" s="1" t="str">
        <f>""</f>
        <v/>
      </c>
      <c r="C4" s="1" t="str">
        <f>"Club de judo de Varennes"</f>
        <v>Club de judo de Varennes</v>
      </c>
      <c r="D4" s="1" t="str">
        <f>"QC"</f>
        <v>QC</v>
      </c>
      <c r="E4" s="1" t="str">
        <f>"Quebec"</f>
        <v>Quebec</v>
      </c>
      <c r="F4" s="1" t="str">
        <f>"Hugues"</f>
        <v>Hugues</v>
      </c>
      <c r="G4" s="1" t="str">
        <f>"Champagne"</f>
        <v>Champagne</v>
      </c>
      <c r="H4" s="1" t="str">
        <f>"0073846"</f>
        <v>0073846</v>
      </c>
      <c r="I4" s="1" t="str">
        <f>"M"</f>
        <v>M</v>
      </c>
      <c r="J4" s="2">
        <v>1970</v>
      </c>
      <c r="K4" s="1" t="str">
        <f>"1k"</f>
        <v>1k</v>
      </c>
      <c r="L4" s="1" t="str">
        <f>"Master"</f>
        <v>Master</v>
      </c>
      <c r="M4" s="1" t="str">
        <f>"+100"</f>
        <v>+100</v>
      </c>
      <c r="N4" s="1" t="s">
        <v>150</v>
      </c>
      <c r="O4" s="1">
        <v>1</v>
      </c>
      <c r="P4" s="1" t="s">
        <v>151</v>
      </c>
      <c r="Q4" t="s">
        <v>152</v>
      </c>
    </row>
    <row r="5" spans="1:18" x14ac:dyDescent="0.25">
      <c r="B5" s="1" t="str">
        <f>""</f>
        <v/>
      </c>
      <c r="C5" s="1" t="str">
        <f>"Judo Univestri/donini"</f>
        <v>Judo Univestri/donini</v>
      </c>
      <c r="D5" s="1" t="str">
        <f>"QC"</f>
        <v>QC</v>
      </c>
      <c r="E5" s="1" t="str">
        <f>"Quebec"</f>
        <v>Quebec</v>
      </c>
      <c r="F5" s="1" t="str">
        <f>"Luc"</f>
        <v>Luc</v>
      </c>
      <c r="G5" s="1" t="str">
        <f>"Dubé"</f>
        <v>Dubé</v>
      </c>
      <c r="H5" s="1" t="str">
        <f>"0010762"</f>
        <v>0010762</v>
      </c>
      <c r="I5" s="1" t="str">
        <f>"M"</f>
        <v>M</v>
      </c>
      <c r="J5" s="1">
        <v>1978</v>
      </c>
      <c r="K5" s="1" t="s">
        <v>110</v>
      </c>
      <c r="L5" s="1" t="s">
        <v>22</v>
      </c>
      <c r="M5" s="1" t="str">
        <f>"+100"</f>
        <v>+100</v>
      </c>
      <c r="N5" s="1" t="s">
        <v>150</v>
      </c>
      <c r="O5" s="1"/>
      <c r="P5" s="1" t="s">
        <v>153</v>
      </c>
      <c r="Q5" t="s">
        <v>152</v>
      </c>
    </row>
    <row r="6" spans="1:18" x14ac:dyDescent="0.25">
      <c r="B6" s="1" t="s">
        <v>13</v>
      </c>
      <c r="C6" s="1" t="s">
        <v>154</v>
      </c>
      <c r="D6" s="1" t="s">
        <v>15</v>
      </c>
      <c r="E6" s="1" t="s">
        <v>16</v>
      </c>
      <c r="F6" s="1" t="s">
        <v>155</v>
      </c>
      <c r="G6" s="1" t="s">
        <v>156</v>
      </c>
      <c r="H6" s="1" t="s">
        <v>157</v>
      </c>
      <c r="I6" s="1" t="s">
        <v>32</v>
      </c>
      <c r="J6" s="2">
        <v>1975</v>
      </c>
      <c r="K6" s="1" t="s">
        <v>158</v>
      </c>
      <c r="L6" s="1" t="s">
        <v>22</v>
      </c>
      <c r="M6" s="1" t="s">
        <v>159</v>
      </c>
      <c r="N6" s="1" t="s">
        <v>150</v>
      </c>
      <c r="O6" s="1">
        <v>2</v>
      </c>
      <c r="P6" s="1" t="s">
        <v>153</v>
      </c>
      <c r="Q6" t="s">
        <v>152</v>
      </c>
    </row>
    <row r="7" spans="1:18" x14ac:dyDescent="0.25">
      <c r="A7" t="str">
        <f>"2018-10-21 18:35:19"</f>
        <v>2018-10-21 18:35:19</v>
      </c>
      <c r="B7" s="1" t="str">
        <f>""</f>
        <v/>
      </c>
      <c r="C7" s="4" t="str">
        <f>"Kohbukan-Sisu Judo Club"</f>
        <v>Kohbukan-Sisu Judo Club</v>
      </c>
      <c r="D7" s="4" t="str">
        <f>"ON"</f>
        <v>ON</v>
      </c>
      <c r="E7" s="4" t="str">
        <f>"Ontario"</f>
        <v>Ontario</v>
      </c>
      <c r="F7" s="4" t="str">
        <f>"Amanda"</f>
        <v>Amanda</v>
      </c>
      <c r="G7" s="4" t="str">
        <f>"McAlpine"</f>
        <v>McAlpine</v>
      </c>
      <c r="H7" s="4" t="str">
        <f>"0208319"</f>
        <v>0208319</v>
      </c>
      <c r="I7" s="4" t="str">
        <f>"F"</f>
        <v>F</v>
      </c>
      <c r="J7" s="5">
        <v>1978</v>
      </c>
      <c r="K7" s="4" t="str">
        <f>"1k"</f>
        <v>1k</v>
      </c>
      <c r="L7" s="4" t="s">
        <v>22</v>
      </c>
      <c r="M7" s="4" t="str">
        <f>"+78"</f>
        <v>+78</v>
      </c>
      <c r="N7" s="4" t="str">
        <f>"110kg"</f>
        <v>110kg</v>
      </c>
      <c r="O7" s="4">
        <v>3</v>
      </c>
      <c r="P7" s="4" t="s">
        <v>24</v>
      </c>
      <c r="Q7" t="s">
        <v>51</v>
      </c>
    </row>
    <row r="8" spans="1:18" x14ac:dyDescent="0.25">
      <c r="A8" t="str">
        <f>"2018-10-17 22:05:02"</f>
        <v>2018-10-17 22:05:02</v>
      </c>
      <c r="B8" s="1" t="str">
        <f>""</f>
        <v/>
      </c>
      <c r="C8" s="4" t="str">
        <f>"Club de judo St-Paul l'Ermite"</f>
        <v>Club de judo St-Paul l'Ermite</v>
      </c>
      <c r="D8" s="4" t="str">
        <f>"QC"</f>
        <v>QC</v>
      </c>
      <c r="E8" s="4" t="str">
        <f>"Quebec"</f>
        <v>Quebec</v>
      </c>
      <c r="F8" s="4" t="str">
        <f>"Genevieve"</f>
        <v>Genevieve</v>
      </c>
      <c r="G8" s="4" t="str">
        <f>"Poulin"</f>
        <v>Poulin</v>
      </c>
      <c r="H8" s="4" t="str">
        <f>"0201255"</f>
        <v>0201255</v>
      </c>
      <c r="I8" s="4" t="str">
        <f>"F"</f>
        <v>F</v>
      </c>
      <c r="J8" s="5">
        <v>1980</v>
      </c>
      <c r="K8" s="4" t="str">
        <f>"1k"</f>
        <v>1k</v>
      </c>
      <c r="L8" s="4" t="s">
        <v>22</v>
      </c>
      <c r="M8" s="4" t="str">
        <f>"-48"</f>
        <v>-48</v>
      </c>
      <c r="N8" s="4" t="str">
        <f>""</f>
        <v/>
      </c>
      <c r="O8" s="4">
        <v>2</v>
      </c>
      <c r="P8" s="4" t="s">
        <v>43</v>
      </c>
      <c r="Q8" t="s">
        <v>44</v>
      </c>
    </row>
    <row r="9" spans="1:18" x14ac:dyDescent="0.25">
      <c r="A9" t="str">
        <f>"2018-10-18 12:16:27"</f>
        <v>2018-10-18 12:16:27</v>
      </c>
      <c r="B9" s="1" t="str">
        <f>""</f>
        <v/>
      </c>
      <c r="C9" s="1" t="str">
        <f>"Club de judo Shidokan inc."</f>
        <v>Club de judo Shidokan inc.</v>
      </c>
      <c r="D9" s="1" t="str">
        <f>"QC"</f>
        <v>QC</v>
      </c>
      <c r="E9" s="1" t="str">
        <f>"Quebec"</f>
        <v>Quebec</v>
      </c>
      <c r="F9" s="1" t="str">
        <f>"Ludovic"</f>
        <v>Ludovic</v>
      </c>
      <c r="G9" s="1" t="str">
        <f>"Durrieu"</f>
        <v>Durrieu</v>
      </c>
      <c r="H9" s="1" t="str">
        <f>"0211193"</f>
        <v>0211193</v>
      </c>
      <c r="I9" s="1" t="str">
        <f>"M"</f>
        <v>M</v>
      </c>
      <c r="J9" s="2">
        <v>1984</v>
      </c>
      <c r="K9" s="1" t="str">
        <f>"2D"</f>
        <v>2D</v>
      </c>
      <c r="L9" s="1" t="str">
        <f>"Master"</f>
        <v>Master</v>
      </c>
      <c r="M9" s="1" t="str">
        <f>"-60"</f>
        <v>-60</v>
      </c>
      <c r="N9" s="1" t="s">
        <v>160</v>
      </c>
      <c r="O9" s="1">
        <v>1</v>
      </c>
      <c r="P9" s="1" t="s">
        <v>161</v>
      </c>
      <c r="Q9" t="s">
        <v>162</v>
      </c>
    </row>
    <row r="10" spans="1:18" x14ac:dyDescent="0.25">
      <c r="A10" t="str">
        <f>"2018-09-26 11:05:38"</f>
        <v>2018-09-26 11:05:38</v>
      </c>
      <c r="B10" s="1" t="s">
        <v>13</v>
      </c>
      <c r="C10" s="1" t="s">
        <v>163</v>
      </c>
      <c r="D10" s="1" t="s">
        <v>164</v>
      </c>
      <c r="E10" s="1" t="s">
        <v>165</v>
      </c>
      <c r="F10" s="1" t="s">
        <v>166</v>
      </c>
      <c r="G10" s="1" t="s">
        <v>167</v>
      </c>
      <c r="H10" s="1" t="s">
        <v>58</v>
      </c>
      <c r="I10" s="1" t="s">
        <v>32</v>
      </c>
      <c r="J10" s="2">
        <v>1983</v>
      </c>
      <c r="K10" s="1" t="s">
        <v>110</v>
      </c>
      <c r="L10" s="1" t="s">
        <v>22</v>
      </c>
      <c r="M10" s="1" t="s">
        <v>112</v>
      </c>
      <c r="N10" s="1" t="s">
        <v>160</v>
      </c>
      <c r="O10" s="1">
        <v>2</v>
      </c>
      <c r="P10" s="1" t="s">
        <v>161</v>
      </c>
      <c r="Q10" t="s">
        <v>162</v>
      </c>
    </row>
    <row r="11" spans="1:18" x14ac:dyDescent="0.25">
      <c r="A11" t="str">
        <f>"2018-09-26 11:05:38"</f>
        <v>2018-09-26 11:05:38</v>
      </c>
      <c r="B11" s="1" t="str">
        <f>""</f>
        <v/>
      </c>
      <c r="C11" s="1" t="str">
        <f>"Club de judo Torakai"</f>
        <v>Club de judo Torakai</v>
      </c>
      <c r="D11" s="1" t="str">
        <f>"QC"</f>
        <v>QC</v>
      </c>
      <c r="E11" s="1" t="str">
        <f>"Quebec"</f>
        <v>Quebec</v>
      </c>
      <c r="F11" s="1" t="str">
        <f>"Julien"</f>
        <v>Julien</v>
      </c>
      <c r="G11" s="1" t="str">
        <f>"Fontaine-Bégin"</f>
        <v>Fontaine-Bégin</v>
      </c>
      <c r="H11" s="1" t="str">
        <f>"0096883"</f>
        <v>0096883</v>
      </c>
      <c r="I11" s="1" t="str">
        <f>"M"</f>
        <v>M</v>
      </c>
      <c r="J11" s="2">
        <v>1986</v>
      </c>
      <c r="K11" s="1" t="str">
        <f>"2D"</f>
        <v>2D</v>
      </c>
      <c r="L11" s="1" t="str">
        <f>"Master"</f>
        <v>Master</v>
      </c>
      <c r="M11" s="1" t="str">
        <f>"-66"</f>
        <v>-66</v>
      </c>
      <c r="N11" s="1" t="s">
        <v>160</v>
      </c>
      <c r="O11" s="1">
        <v>1</v>
      </c>
      <c r="P11" s="1" t="s">
        <v>168</v>
      </c>
      <c r="Q11" t="s">
        <v>162</v>
      </c>
    </row>
    <row r="12" spans="1:18" x14ac:dyDescent="0.25">
      <c r="A12" t="str">
        <f>"2018-09-29 16:06:33"</f>
        <v>2018-09-29 16:06:33</v>
      </c>
      <c r="B12" s="1" t="s">
        <v>13</v>
      </c>
      <c r="C12" s="1" t="s">
        <v>169</v>
      </c>
      <c r="D12" s="1" t="s">
        <v>27</v>
      </c>
      <c r="E12" s="1" t="s">
        <v>28</v>
      </c>
      <c r="F12" s="1" t="s">
        <v>170</v>
      </c>
      <c r="G12" s="1" t="s">
        <v>171</v>
      </c>
      <c r="H12" s="1" t="s">
        <v>172</v>
      </c>
      <c r="I12" s="1" t="s">
        <v>32</v>
      </c>
      <c r="J12" s="2">
        <v>1983</v>
      </c>
      <c r="K12" s="1" t="s">
        <v>21</v>
      </c>
      <c r="L12" s="1" t="s">
        <v>22</v>
      </c>
      <c r="M12" s="1" t="s">
        <v>112</v>
      </c>
      <c r="N12" s="1" t="s">
        <v>160</v>
      </c>
      <c r="O12" s="1">
        <v>2</v>
      </c>
      <c r="P12" s="1" t="s">
        <v>161</v>
      </c>
      <c r="Q12" t="s">
        <v>162</v>
      </c>
    </row>
    <row r="13" spans="1:18" x14ac:dyDescent="0.25">
      <c r="A13" t="str">
        <f>"2018-10-11 19:31:39"</f>
        <v>2018-10-11 19:31:39</v>
      </c>
      <c r="B13" s="1" t="str">
        <f>""</f>
        <v/>
      </c>
      <c r="C13" s="1" t="str">
        <f>"Club de judo Olympique"</f>
        <v>Club de judo Olympique</v>
      </c>
      <c r="D13" s="1" t="str">
        <f>"QC"</f>
        <v>QC</v>
      </c>
      <c r="E13" s="1" t="str">
        <f>"Quebec"</f>
        <v>Quebec</v>
      </c>
      <c r="F13" s="1" t="str">
        <f>"Arthur"</f>
        <v>Arthur</v>
      </c>
      <c r="G13" s="1" t="str">
        <f>"Vitui"</f>
        <v>Vitui</v>
      </c>
      <c r="H13" s="1" t="str">
        <f>"0222709"</f>
        <v>0222709</v>
      </c>
      <c r="I13" s="1" t="str">
        <f>"M"</f>
        <v>M</v>
      </c>
      <c r="J13" s="2">
        <v>1977</v>
      </c>
      <c r="K13" s="1" t="str">
        <f>"1k"</f>
        <v>1k</v>
      </c>
      <c r="L13" s="1" t="str">
        <f>"Master"</f>
        <v>Master</v>
      </c>
      <c r="M13" s="1" t="str">
        <f>"-66"</f>
        <v>-66</v>
      </c>
      <c r="N13" s="1" t="s">
        <v>160</v>
      </c>
      <c r="O13" s="1">
        <v>1</v>
      </c>
      <c r="P13" s="1" t="s">
        <v>153</v>
      </c>
      <c r="Q13" t="s">
        <v>162</v>
      </c>
    </row>
    <row r="14" spans="1:18" x14ac:dyDescent="0.25">
      <c r="A14" t="str">
        <f>"2018-10-21 21:24:39"</f>
        <v>2018-10-21 21:24:39</v>
      </c>
      <c r="B14" s="1" t="str">
        <f>""</f>
        <v/>
      </c>
      <c r="C14" s="4" t="str">
        <f>"Club de judo Torakai"</f>
        <v>Club de judo Torakai</v>
      </c>
      <c r="D14" s="4" t="str">
        <f>"QC"</f>
        <v>QC</v>
      </c>
      <c r="E14" s="4" t="str">
        <f>"Quebec"</f>
        <v>Quebec</v>
      </c>
      <c r="F14" s="4" t="str">
        <f>"Catherine"</f>
        <v>Catherine</v>
      </c>
      <c r="G14" s="4" t="str">
        <f>"Tardif"</f>
        <v>Tardif</v>
      </c>
      <c r="H14" s="4" t="str">
        <f>"0231248"</f>
        <v>0231248</v>
      </c>
      <c r="I14" s="4" t="str">
        <f>"F"</f>
        <v>F</v>
      </c>
      <c r="J14" s="5">
        <v>1986</v>
      </c>
      <c r="K14" s="4" t="str">
        <f>"1k"</f>
        <v>1k</v>
      </c>
      <c r="L14" s="4" t="str">
        <f>"Master"</f>
        <v>Master</v>
      </c>
      <c r="M14" s="4" t="str">
        <f>"-70"</f>
        <v>-70</v>
      </c>
      <c r="N14" s="4" t="str">
        <f>""</f>
        <v/>
      </c>
      <c r="O14" s="4">
        <v>1</v>
      </c>
      <c r="P14" s="4" t="s">
        <v>24</v>
      </c>
      <c r="Q14" t="s">
        <v>25</v>
      </c>
    </row>
    <row r="15" spans="1:18" x14ac:dyDescent="0.25">
      <c r="A15" t="str">
        <f>"2018-10-21 10:03:36"</f>
        <v>2018-10-21 10:03:36</v>
      </c>
      <c r="B15" s="1" t="str">
        <f>""</f>
        <v/>
      </c>
      <c r="C15" s="1" t="str">
        <f>"Club de judo St-Paul l'Ermite"</f>
        <v>Club de judo St-Paul l'Ermite</v>
      </c>
      <c r="D15" s="1" t="str">
        <f>"QC"</f>
        <v>QC</v>
      </c>
      <c r="E15" s="1" t="str">
        <f>"Quebec"</f>
        <v>Quebec</v>
      </c>
      <c r="F15" s="1" t="str">
        <f>"Nourine"</f>
        <v>Nourine</v>
      </c>
      <c r="G15" s="1" t="str">
        <f>"Benyoucef"</f>
        <v>Benyoucef</v>
      </c>
      <c r="H15" s="1" t="str">
        <f>"0156947"</f>
        <v>0156947</v>
      </c>
      <c r="I15" s="1" t="str">
        <f t="shared" ref="I15:I34" si="0">"M"</f>
        <v>M</v>
      </c>
      <c r="J15" s="2">
        <v>1977</v>
      </c>
      <c r="K15" s="1" t="str">
        <f>"1D"</f>
        <v>1D</v>
      </c>
      <c r="L15" s="1" t="str">
        <f>"Master"</f>
        <v>Master</v>
      </c>
      <c r="M15" s="1" t="str">
        <f t="shared" ref="M15:M21" si="1">"-73"</f>
        <v>-73</v>
      </c>
      <c r="N15" s="1" t="s">
        <v>35</v>
      </c>
      <c r="O15" s="1">
        <v>1</v>
      </c>
      <c r="P15" s="1" t="s">
        <v>153</v>
      </c>
      <c r="Q15" t="s">
        <v>37</v>
      </c>
    </row>
    <row r="16" spans="1:18" x14ac:dyDescent="0.25">
      <c r="A16" t="str">
        <f>"2018-09-24 16:15:16"</f>
        <v>2018-09-24 16:15:16</v>
      </c>
      <c r="B16" s="1" t="str">
        <f>""</f>
        <v/>
      </c>
      <c r="C16" s="1" t="str">
        <f>"Club de judo Torakai"</f>
        <v>Club de judo Torakai</v>
      </c>
      <c r="D16" s="1" t="str">
        <f>"QC"</f>
        <v>QC</v>
      </c>
      <c r="E16" s="1" t="str">
        <f>"Quebec"</f>
        <v>Quebec</v>
      </c>
      <c r="F16" s="1" t="str">
        <f>"Martin"</f>
        <v>Martin</v>
      </c>
      <c r="G16" s="1" t="str">
        <f>"Gauthier"</f>
        <v>Gauthier</v>
      </c>
      <c r="H16" s="1" t="str">
        <f>"0230051"</f>
        <v>0230051</v>
      </c>
      <c r="I16" s="1" t="str">
        <f t="shared" si="0"/>
        <v>M</v>
      </c>
      <c r="J16" s="2">
        <v>1977</v>
      </c>
      <c r="K16" s="8" t="s">
        <v>21</v>
      </c>
      <c r="L16" s="9" t="str">
        <f>"Master"</f>
        <v>Master</v>
      </c>
      <c r="M16" s="1" t="str">
        <f t="shared" si="1"/>
        <v>-73</v>
      </c>
      <c r="N16" s="1" t="s">
        <v>35</v>
      </c>
      <c r="O16" s="1">
        <v>1</v>
      </c>
      <c r="P16" s="1" t="s">
        <v>153</v>
      </c>
      <c r="Q16" t="s">
        <v>37</v>
      </c>
    </row>
    <row r="17" spans="1:18" x14ac:dyDescent="0.25">
      <c r="A17" t="str">
        <f>"2018-10-01 13:09:53"</f>
        <v>2018-10-01 13:09:53</v>
      </c>
      <c r="B17" s="1" t="str">
        <f>""</f>
        <v/>
      </c>
      <c r="C17" s="1" t="str">
        <f>"Fredericton Judo Club"</f>
        <v>Fredericton Judo Club</v>
      </c>
      <c r="D17" s="1" t="str">
        <f>"NB"</f>
        <v>NB</v>
      </c>
      <c r="E17" s="1" t="str">
        <f>"New Brunswick"</f>
        <v>New Brunswick</v>
      </c>
      <c r="F17" s="1" t="str">
        <f>"Samuel"</f>
        <v>Samuel</v>
      </c>
      <c r="G17" s="1" t="str">
        <f>"Kristoffersen"</f>
        <v>Kristoffersen</v>
      </c>
      <c r="H17" s="1" t="str">
        <f>"0157855"</f>
        <v>0157855</v>
      </c>
      <c r="I17" s="1" t="str">
        <f t="shared" si="0"/>
        <v>M</v>
      </c>
      <c r="J17" s="2">
        <v>1986</v>
      </c>
      <c r="K17" s="4" t="str">
        <f>"3D"</f>
        <v>3D</v>
      </c>
      <c r="L17" s="4" t="s">
        <v>22</v>
      </c>
      <c r="M17" s="1" t="str">
        <f t="shared" si="1"/>
        <v>-73</v>
      </c>
      <c r="N17" s="1" t="s">
        <v>35</v>
      </c>
      <c r="O17" s="1">
        <v>2</v>
      </c>
      <c r="P17" s="1" t="s">
        <v>168</v>
      </c>
      <c r="Q17" t="s">
        <v>173</v>
      </c>
    </row>
    <row r="18" spans="1:18" x14ac:dyDescent="0.25">
      <c r="A18" t="str">
        <f>"2018-10-12 01:21:37"</f>
        <v>2018-10-12 01:21:37</v>
      </c>
      <c r="B18" s="1" t="str">
        <f>""</f>
        <v/>
      </c>
      <c r="C18" s="1" t="str">
        <f>"Judo Rive-Sud"</f>
        <v>Judo Rive-Sud</v>
      </c>
      <c r="D18" s="1" t="str">
        <f>"QC"</f>
        <v>QC</v>
      </c>
      <c r="E18" s="1" t="str">
        <f>"Quebec"</f>
        <v>Quebec</v>
      </c>
      <c r="F18" s="1" t="str">
        <f>"Carl-David"</f>
        <v>Carl-David</v>
      </c>
      <c r="G18" s="1" t="str">
        <f>"Marrec"</f>
        <v>Marrec</v>
      </c>
      <c r="H18" s="1" t="str">
        <f>"0069668"</f>
        <v>0069668</v>
      </c>
      <c r="I18" s="1" t="str">
        <f t="shared" si="0"/>
        <v>M</v>
      </c>
      <c r="J18" s="2">
        <v>1980</v>
      </c>
      <c r="K18" s="1" t="str">
        <f>"2D"</f>
        <v>2D</v>
      </c>
      <c r="L18" s="1" t="str">
        <f t="shared" ref="L18:L26" si="2">"Master"</f>
        <v>Master</v>
      </c>
      <c r="M18" s="1" t="str">
        <f t="shared" si="1"/>
        <v>-73</v>
      </c>
      <c r="N18" s="1" t="s">
        <v>35</v>
      </c>
      <c r="O18" s="1">
        <v>1</v>
      </c>
      <c r="P18" s="1" t="s">
        <v>161</v>
      </c>
      <c r="Q18" t="s">
        <v>173</v>
      </c>
    </row>
    <row r="19" spans="1:18" x14ac:dyDescent="0.25">
      <c r="B19" s="1" t="str">
        <f>""</f>
        <v/>
      </c>
      <c r="C19" s="1" t="str">
        <f>"Club de judo de la vieille capitale"</f>
        <v>Club de judo de la vieille capitale</v>
      </c>
      <c r="D19" s="1" t="str">
        <f>"QC"</f>
        <v>QC</v>
      </c>
      <c r="E19" s="1" t="str">
        <f>"Quebec"</f>
        <v>Quebec</v>
      </c>
      <c r="F19" s="1" t="str">
        <f>"Benjamin"</f>
        <v>Benjamin</v>
      </c>
      <c r="G19" s="1" t="str">
        <f>"Perron"</f>
        <v>Perron</v>
      </c>
      <c r="H19" s="1" t="str">
        <f>"0075403"</f>
        <v>0075403</v>
      </c>
      <c r="I19" s="1" t="str">
        <f t="shared" si="0"/>
        <v>M</v>
      </c>
      <c r="J19" s="1">
        <v>1987</v>
      </c>
      <c r="K19" s="1" t="str">
        <f>"1k"</f>
        <v>1k</v>
      </c>
      <c r="L19" s="1" t="str">
        <f t="shared" si="2"/>
        <v>Master</v>
      </c>
      <c r="M19" s="1" t="str">
        <f t="shared" si="1"/>
        <v>-73</v>
      </c>
      <c r="N19" s="1" t="s">
        <v>35</v>
      </c>
      <c r="O19" s="1">
        <v>1</v>
      </c>
      <c r="P19" s="1" t="s">
        <v>168</v>
      </c>
      <c r="Q19" t="s">
        <v>173</v>
      </c>
    </row>
    <row r="20" spans="1:18" x14ac:dyDescent="0.25">
      <c r="A20" t="str">
        <f>"2018-10-17 13:54:33"</f>
        <v>2018-10-17 13:54:33</v>
      </c>
      <c r="B20" s="1" t="str">
        <f>""</f>
        <v/>
      </c>
      <c r="C20" s="4" t="str">
        <f>"Full Circle Judo Club"</f>
        <v>Full Circle Judo Club</v>
      </c>
      <c r="D20" s="4" t="str">
        <f>"ON"</f>
        <v>ON</v>
      </c>
      <c r="E20" s="4" t="str">
        <f>"Ontario"</f>
        <v>Ontario</v>
      </c>
      <c r="F20" s="4" t="str">
        <f>"Artur"</f>
        <v>Artur</v>
      </c>
      <c r="G20" s="4" t="str">
        <f>"Targosinski"</f>
        <v>Targosinski</v>
      </c>
      <c r="H20" s="4" t="str">
        <f>"0146076"</f>
        <v>0146076</v>
      </c>
      <c r="I20" s="4" t="str">
        <f t="shared" si="0"/>
        <v>M</v>
      </c>
      <c r="J20" s="5">
        <v>1965</v>
      </c>
      <c r="K20" s="4" t="str">
        <f>"2D"</f>
        <v>2D</v>
      </c>
      <c r="L20" s="4" t="str">
        <f t="shared" si="2"/>
        <v>Master</v>
      </c>
      <c r="M20" s="4" t="str">
        <f t="shared" si="1"/>
        <v>-73</v>
      </c>
      <c r="N20" s="4" t="s">
        <v>35</v>
      </c>
      <c r="O20" s="4">
        <v>1</v>
      </c>
      <c r="P20" s="4" t="s">
        <v>36</v>
      </c>
      <c r="Q20" s="6" t="s">
        <v>37</v>
      </c>
      <c r="R20" s="6"/>
    </row>
    <row r="21" spans="1:18" x14ac:dyDescent="0.25">
      <c r="A21" t="str">
        <f>"2018-10-17 13:54:33"</f>
        <v>2018-10-17 13:54:33</v>
      </c>
      <c r="B21" s="1" t="str">
        <f>""</f>
        <v/>
      </c>
      <c r="C21" s="1" t="str">
        <f>"Scarborough Dojo"</f>
        <v>Scarborough Dojo</v>
      </c>
      <c r="D21" s="1" t="str">
        <f>"ON"</f>
        <v>ON</v>
      </c>
      <c r="E21" s="1" t="str">
        <f>"Ontario"</f>
        <v>Ontario</v>
      </c>
      <c r="F21" s="1" t="str">
        <f>"Ian"</f>
        <v>Ian</v>
      </c>
      <c r="G21" s="1" t="str">
        <f>"Yee"</f>
        <v>Yee</v>
      </c>
      <c r="H21" s="1" t="str">
        <f>"0139863"</f>
        <v>0139863</v>
      </c>
      <c r="I21" s="1" t="str">
        <f t="shared" si="0"/>
        <v>M</v>
      </c>
      <c r="J21" s="2">
        <v>1973</v>
      </c>
      <c r="K21" s="1" t="str">
        <f>"3D"</f>
        <v>3D</v>
      </c>
      <c r="L21" s="1" t="str">
        <f t="shared" si="2"/>
        <v>Master</v>
      </c>
      <c r="M21" s="1" t="str">
        <f t="shared" si="1"/>
        <v>-73</v>
      </c>
      <c r="N21" s="1" t="s">
        <v>35</v>
      </c>
      <c r="O21" s="1">
        <v>1</v>
      </c>
      <c r="P21" s="1" t="s">
        <v>151</v>
      </c>
      <c r="Q21" t="s">
        <v>37</v>
      </c>
    </row>
    <row r="22" spans="1:18" x14ac:dyDescent="0.25">
      <c r="A22" t="str">
        <f>"2018-10-06 14:53:25"</f>
        <v>2018-10-06 14:53:25</v>
      </c>
      <c r="B22" s="1" t="str">
        <f>""</f>
        <v/>
      </c>
      <c r="C22" s="1" t="str">
        <f>"Judo Univestri/donini"</f>
        <v>Judo Univestri/donini</v>
      </c>
      <c r="D22" s="1" t="str">
        <f t="shared" ref="D22:D28" si="3">"QC"</f>
        <v>QC</v>
      </c>
      <c r="E22" s="1" t="str">
        <f t="shared" ref="E22:E29" si="4">"Quebec"</f>
        <v>Quebec</v>
      </c>
      <c r="F22" s="1" t="str">
        <f>"Benoit"</f>
        <v>Benoit</v>
      </c>
      <c r="G22" s="1" t="str">
        <f>"Jobin"</f>
        <v>Jobin</v>
      </c>
      <c r="H22" s="1" t="str">
        <f>"0083240"</f>
        <v>0083240</v>
      </c>
      <c r="I22" s="1" t="str">
        <f t="shared" si="0"/>
        <v>M</v>
      </c>
      <c r="J22" s="2">
        <v>1986</v>
      </c>
      <c r="K22" s="1" t="str">
        <f>"1D"</f>
        <v>1D</v>
      </c>
      <c r="L22" s="1" t="str">
        <f t="shared" si="2"/>
        <v>Master</v>
      </c>
      <c r="M22" s="1" t="str">
        <f>"-81"</f>
        <v>-81</v>
      </c>
      <c r="N22" s="1" t="s">
        <v>35</v>
      </c>
      <c r="O22" s="1">
        <v>1</v>
      </c>
      <c r="P22" s="1" t="s">
        <v>168</v>
      </c>
      <c r="Q22" t="s">
        <v>173</v>
      </c>
    </row>
    <row r="23" spans="1:18" x14ac:dyDescent="0.25">
      <c r="A23" t="str">
        <f>"2018-09-24 16:15:16"</f>
        <v>2018-09-24 16:15:16</v>
      </c>
      <c r="B23" s="1" t="str">
        <f>""</f>
        <v/>
      </c>
      <c r="C23" s="1" t="str">
        <f>"Club de judo Shidokan inc."</f>
        <v>Club de judo Shidokan inc.</v>
      </c>
      <c r="D23" s="1" t="str">
        <f t="shared" si="3"/>
        <v>QC</v>
      </c>
      <c r="E23" s="1" t="str">
        <f t="shared" si="4"/>
        <v>Quebec</v>
      </c>
      <c r="F23" s="1" t="str">
        <f>"Marc"</f>
        <v>Marc</v>
      </c>
      <c r="G23" s="1" t="str">
        <f>"Lavigne-Gagnon"</f>
        <v>Lavigne-Gagnon</v>
      </c>
      <c r="H23" s="1" t="str">
        <f>"0212708"</f>
        <v>0212708</v>
      </c>
      <c r="I23" s="1" t="str">
        <f t="shared" si="0"/>
        <v>M</v>
      </c>
      <c r="J23" s="2">
        <v>1975</v>
      </c>
      <c r="K23" s="1" t="str">
        <f>"1k"</f>
        <v>1k</v>
      </c>
      <c r="L23" s="1" t="str">
        <f t="shared" si="2"/>
        <v>Master</v>
      </c>
      <c r="M23" s="1" t="str">
        <f>"-81"</f>
        <v>-81</v>
      </c>
      <c r="N23" s="1" t="s">
        <v>35</v>
      </c>
      <c r="O23" s="1">
        <v>1</v>
      </c>
      <c r="P23" s="1" t="s">
        <v>153</v>
      </c>
      <c r="Q23" t="s">
        <v>37</v>
      </c>
    </row>
    <row r="24" spans="1:18" x14ac:dyDescent="0.25">
      <c r="A24" t="str">
        <f>"2018-10-01 22:39:27"</f>
        <v>2018-10-01 22:39:27</v>
      </c>
      <c r="B24" s="1" t="str">
        <f>""</f>
        <v/>
      </c>
      <c r="C24" s="1" t="str">
        <f>"Club de Judo centre Multisports"</f>
        <v>Club de Judo centre Multisports</v>
      </c>
      <c r="D24" s="1" t="str">
        <f t="shared" si="3"/>
        <v>QC</v>
      </c>
      <c r="E24" s="1" t="str">
        <f t="shared" si="4"/>
        <v>Quebec</v>
      </c>
      <c r="F24" s="1" t="str">
        <f>"Vincent"</f>
        <v>Vincent</v>
      </c>
      <c r="G24" s="1" t="str">
        <f>"Lavoie"</f>
        <v>Lavoie</v>
      </c>
      <c r="H24" s="1" t="str">
        <f>"314"</f>
        <v>314</v>
      </c>
      <c r="I24" s="1" t="str">
        <f t="shared" si="0"/>
        <v>M</v>
      </c>
      <c r="J24" s="2">
        <v>1954</v>
      </c>
      <c r="K24" s="1" t="str">
        <f>"2D"</f>
        <v>2D</v>
      </c>
      <c r="L24" s="1" t="str">
        <f t="shared" si="2"/>
        <v>Master</v>
      </c>
      <c r="M24" s="1" t="str">
        <f>"-81"</f>
        <v>-81</v>
      </c>
      <c r="N24" s="1" t="s">
        <v>35</v>
      </c>
      <c r="O24" s="1">
        <v>1</v>
      </c>
      <c r="P24" s="1" t="s">
        <v>174</v>
      </c>
      <c r="Q24" t="s">
        <v>175</v>
      </c>
    </row>
    <row r="25" spans="1:18" x14ac:dyDescent="0.25">
      <c r="A25" t="str">
        <f>"2018-10-01 22:39:27"</f>
        <v>2018-10-01 22:39:27</v>
      </c>
      <c r="B25" s="1" t="str">
        <f>""</f>
        <v/>
      </c>
      <c r="C25" s="1" t="str">
        <f>"Club de judo Torakai"</f>
        <v>Club de judo Torakai</v>
      </c>
      <c r="D25" s="1" t="str">
        <f t="shared" si="3"/>
        <v>QC</v>
      </c>
      <c r="E25" s="1" t="str">
        <f t="shared" si="4"/>
        <v>Quebec</v>
      </c>
      <c r="F25" s="1" t="str">
        <f>"Eusidor"</f>
        <v>Eusidor</v>
      </c>
      <c r="G25" s="1" t="str">
        <f>"Serotte"</f>
        <v>Serotte</v>
      </c>
      <c r="H25" s="1" t="str">
        <f>"0204672"</f>
        <v>0204672</v>
      </c>
      <c r="I25" s="1" t="str">
        <f t="shared" si="0"/>
        <v>M</v>
      </c>
      <c r="J25" s="2">
        <v>1975</v>
      </c>
      <c r="K25" s="1" t="str">
        <f>"2k"</f>
        <v>2k</v>
      </c>
      <c r="L25" s="1" t="str">
        <f t="shared" si="2"/>
        <v>Master</v>
      </c>
      <c r="M25" s="1" t="str">
        <f>"-81"</f>
        <v>-81</v>
      </c>
      <c r="N25" s="1" t="s">
        <v>35</v>
      </c>
      <c r="O25" s="1">
        <v>1</v>
      </c>
      <c r="P25" s="1" t="s">
        <v>153</v>
      </c>
      <c r="Q25" t="s">
        <v>37</v>
      </c>
    </row>
    <row r="26" spans="1:18" x14ac:dyDescent="0.25">
      <c r="A26" t="str">
        <f>"2018-10-19 16:16:35"</f>
        <v>2018-10-19 16:16:35</v>
      </c>
      <c r="B26" s="1" t="str">
        <f>""</f>
        <v/>
      </c>
      <c r="C26" s="1" t="str">
        <f>"Bushidokan"</f>
        <v>Bushidokan</v>
      </c>
      <c r="D26" s="1" t="str">
        <f t="shared" si="3"/>
        <v>QC</v>
      </c>
      <c r="E26" s="1" t="str">
        <f t="shared" si="4"/>
        <v>Quebec</v>
      </c>
      <c r="F26" s="1" t="str">
        <f>"François"</f>
        <v>François</v>
      </c>
      <c r="G26" s="1" t="str">
        <f>"Bernaquez"</f>
        <v>Bernaquez</v>
      </c>
      <c r="H26" s="1" t="str">
        <f>"0013007"</f>
        <v>0013007</v>
      </c>
      <c r="I26" s="1" t="str">
        <f t="shared" si="0"/>
        <v>M</v>
      </c>
      <c r="J26" s="2">
        <v>1968</v>
      </c>
      <c r="K26" s="1" t="str">
        <f>"2D"</f>
        <v>2D</v>
      </c>
      <c r="L26" s="1" t="str">
        <f t="shared" si="2"/>
        <v>Master</v>
      </c>
      <c r="M26" s="1" t="str">
        <f t="shared" ref="M26:M31" si="5">"-90"</f>
        <v>-90</v>
      </c>
      <c r="N26" s="1" t="s">
        <v>176</v>
      </c>
      <c r="O26" s="1">
        <v>1</v>
      </c>
      <c r="P26" s="1" t="s">
        <v>177</v>
      </c>
      <c r="Q26" t="s">
        <v>175</v>
      </c>
    </row>
    <row r="27" spans="1:18" x14ac:dyDescent="0.25">
      <c r="A27" t="str">
        <f>"2018-09-24 13:49:20"</f>
        <v>2018-09-24 13:49:20</v>
      </c>
      <c r="B27" s="1" t="str">
        <f>""</f>
        <v/>
      </c>
      <c r="C27" s="1" t="str">
        <f>"judo Magog"</f>
        <v>judo Magog</v>
      </c>
      <c r="D27" s="1" t="str">
        <f t="shared" si="3"/>
        <v>QC</v>
      </c>
      <c r="E27" s="1" t="str">
        <f t="shared" si="4"/>
        <v>Quebec</v>
      </c>
      <c r="F27" s="1" t="str">
        <f>"Yannick"</f>
        <v>Yannick</v>
      </c>
      <c r="G27" s="1" t="str">
        <f>"Degasne"</f>
        <v>Degasne</v>
      </c>
      <c r="H27" s="1" t="str">
        <f>"0189081"</f>
        <v>0189081</v>
      </c>
      <c r="I27" s="1" t="str">
        <f t="shared" si="0"/>
        <v>M</v>
      </c>
      <c r="J27" s="2">
        <v>1971</v>
      </c>
      <c r="K27" s="1" t="str">
        <f>"1D"</f>
        <v>1D</v>
      </c>
      <c r="L27" s="1" t="s">
        <v>22</v>
      </c>
      <c r="M27" s="1" t="str">
        <f t="shared" si="5"/>
        <v>-90</v>
      </c>
      <c r="N27" s="1" t="s">
        <v>176</v>
      </c>
      <c r="O27" s="1">
        <v>2</v>
      </c>
      <c r="P27" s="1" t="s">
        <v>151</v>
      </c>
      <c r="Q27" t="s">
        <v>178</v>
      </c>
    </row>
    <row r="28" spans="1:18" x14ac:dyDescent="0.25">
      <c r="A28" t="str">
        <f>"2018-09-24 13:49:20"</f>
        <v>2018-09-24 13:49:20</v>
      </c>
      <c r="B28" s="1" t="str">
        <f>""</f>
        <v/>
      </c>
      <c r="C28" s="1" t="str">
        <f>"Club de judo To Haku kan inc."</f>
        <v>Club de judo To Haku kan inc.</v>
      </c>
      <c r="D28" s="1" t="str">
        <f t="shared" si="3"/>
        <v>QC</v>
      </c>
      <c r="E28" s="1" t="str">
        <f t="shared" si="4"/>
        <v>Quebec</v>
      </c>
      <c r="F28" s="1" t="str">
        <f>"Viktor"</f>
        <v>Viktor</v>
      </c>
      <c r="G28" s="1" t="str">
        <f>"Haybutdinov"</f>
        <v>Haybutdinov</v>
      </c>
      <c r="H28" s="1" t="str">
        <f>"0220270"</f>
        <v>0220270</v>
      </c>
      <c r="I28" s="1" t="str">
        <f t="shared" si="0"/>
        <v>M</v>
      </c>
      <c r="J28" s="2">
        <v>1970</v>
      </c>
      <c r="K28" s="1" t="s">
        <v>158</v>
      </c>
      <c r="L28" s="1" t="str">
        <f t="shared" ref="L28:L34" si="6">"Master"</f>
        <v>Master</v>
      </c>
      <c r="M28" s="1" t="str">
        <f t="shared" si="5"/>
        <v>-90</v>
      </c>
      <c r="N28" s="1" t="s">
        <v>176</v>
      </c>
      <c r="O28" s="1">
        <v>1</v>
      </c>
      <c r="P28" s="1" t="s">
        <v>151</v>
      </c>
      <c r="Q28" t="s">
        <v>178</v>
      </c>
    </row>
    <row r="29" spans="1:18" x14ac:dyDescent="0.25">
      <c r="A29" t="str">
        <f>"2018-09-25 00:53:24"</f>
        <v>2018-09-25 00:53:24</v>
      </c>
      <c r="B29" s="1" t="str">
        <f>""</f>
        <v/>
      </c>
      <c r="C29" s="1" t="str">
        <f>"Takahashi Dojo"</f>
        <v>Takahashi Dojo</v>
      </c>
      <c r="D29" s="1" t="str">
        <f>"ON"</f>
        <v>ON</v>
      </c>
      <c r="E29" s="1" t="str">
        <f t="shared" si="4"/>
        <v>Quebec</v>
      </c>
      <c r="F29" s="1" t="str">
        <f>"Brian"</f>
        <v>Brian</v>
      </c>
      <c r="G29" s="1" t="str">
        <f>"Jones"</f>
        <v>Jones</v>
      </c>
      <c r="H29" s="1" t="str">
        <f>"0192411"</f>
        <v>0192411</v>
      </c>
      <c r="I29" s="1" t="str">
        <f t="shared" si="0"/>
        <v>M</v>
      </c>
      <c r="J29" s="2">
        <v>1963</v>
      </c>
      <c r="K29" s="1" t="str">
        <f>"1k"</f>
        <v>1k</v>
      </c>
      <c r="L29" s="1" t="str">
        <f t="shared" si="6"/>
        <v>Master</v>
      </c>
      <c r="M29" s="1" t="str">
        <f t="shared" si="5"/>
        <v>-90</v>
      </c>
      <c r="N29" s="1" t="s">
        <v>176</v>
      </c>
      <c r="O29" s="1">
        <v>1</v>
      </c>
      <c r="P29" s="1" t="s">
        <v>179</v>
      </c>
      <c r="Q29" t="s">
        <v>175</v>
      </c>
    </row>
    <row r="30" spans="1:18" x14ac:dyDescent="0.25">
      <c r="A30" t="str">
        <f>"2018-10-02 16:10:11"</f>
        <v>2018-10-02 16:10:11</v>
      </c>
      <c r="B30" s="1" t="str">
        <f>""</f>
        <v/>
      </c>
      <c r="C30" s="9" t="str">
        <f>"Jita Kyoei Judo Club"</f>
        <v>Jita Kyoei Judo Club</v>
      </c>
      <c r="D30" s="9" t="s">
        <v>180</v>
      </c>
      <c r="E30" s="9" t="str">
        <f>"France"</f>
        <v>France</v>
      </c>
      <c r="F30" s="9" t="str">
        <f>"Gregory"</f>
        <v>Gregory</v>
      </c>
      <c r="G30" s="9" t="str">
        <f>"Maroc"</f>
        <v>Maroc</v>
      </c>
      <c r="H30" s="9" t="str">
        <f>"AutreFederation"</f>
        <v>AutreFederation</v>
      </c>
      <c r="I30" s="1" t="str">
        <f t="shared" si="0"/>
        <v>M</v>
      </c>
      <c r="J30" s="2">
        <v>1984</v>
      </c>
      <c r="K30" s="1" t="str">
        <f>"1D"</f>
        <v>1D</v>
      </c>
      <c r="L30" s="1" t="str">
        <f t="shared" si="6"/>
        <v>Master</v>
      </c>
      <c r="M30" s="1" t="str">
        <f t="shared" si="5"/>
        <v>-90</v>
      </c>
      <c r="N30" s="1" t="s">
        <v>176</v>
      </c>
      <c r="O30" s="1">
        <v>1</v>
      </c>
      <c r="P30" s="1" t="s">
        <v>161</v>
      </c>
      <c r="Q30" t="s">
        <v>178</v>
      </c>
    </row>
    <row r="31" spans="1:18" x14ac:dyDescent="0.25">
      <c r="A31" t="str">
        <f>"2018-10-19 16:16:35"</f>
        <v>2018-10-19 16:16:35</v>
      </c>
      <c r="B31" s="1" t="str">
        <f>""</f>
        <v/>
      </c>
      <c r="C31" s="1" t="s">
        <v>181</v>
      </c>
      <c r="D31" s="1" t="s">
        <v>106</v>
      </c>
      <c r="E31" s="1" t="str">
        <f>"United States"</f>
        <v>United States</v>
      </c>
      <c r="F31" s="1" t="str">
        <f>"Santiago"</f>
        <v>Santiago</v>
      </c>
      <c r="G31" s="1" t="str">
        <f>"Pelaez"</f>
        <v>Pelaez</v>
      </c>
      <c r="H31" s="1" t="str">
        <f>"AutreFederation"</f>
        <v>AutreFederation</v>
      </c>
      <c r="I31" s="1" t="str">
        <f t="shared" si="0"/>
        <v>M</v>
      </c>
      <c r="J31" s="2">
        <v>1979</v>
      </c>
      <c r="K31" s="1" t="str">
        <f>"2D"</f>
        <v>2D</v>
      </c>
      <c r="L31" s="1" t="str">
        <f t="shared" si="6"/>
        <v>Master</v>
      </c>
      <c r="M31" s="1" t="str">
        <f t="shared" si="5"/>
        <v>-90</v>
      </c>
      <c r="N31" s="1" t="s">
        <v>176</v>
      </c>
      <c r="O31" s="1">
        <v>1</v>
      </c>
      <c r="P31" s="1" t="s">
        <v>153</v>
      </c>
      <c r="Q31" t="s">
        <v>178</v>
      </c>
    </row>
    <row r="32" spans="1:18" x14ac:dyDescent="0.25">
      <c r="B32" s="1" t="str">
        <f>""</f>
        <v/>
      </c>
      <c r="C32" s="1" t="str">
        <f>"Club de judo Métropolitain inc."</f>
        <v>Club de judo Métropolitain inc.</v>
      </c>
      <c r="D32" s="1" t="str">
        <f>"QC"</f>
        <v>QC</v>
      </c>
      <c r="E32" s="1" t="str">
        <f>"Quebec"</f>
        <v>Quebec</v>
      </c>
      <c r="F32" s="1" t="str">
        <f>"Ahmed-Hellal"</f>
        <v>Ahmed-Hellal</v>
      </c>
      <c r="G32" s="1" t="str">
        <f>"Cherrak"</f>
        <v>Cherrak</v>
      </c>
      <c r="H32" s="1" t="str">
        <f>"0013557"</f>
        <v>0013557</v>
      </c>
      <c r="I32" s="1" t="str">
        <f t="shared" si="0"/>
        <v>M</v>
      </c>
      <c r="J32" s="2">
        <v>1972</v>
      </c>
      <c r="K32" s="1" t="str">
        <f>"2D"</f>
        <v>2D</v>
      </c>
      <c r="L32" s="1" t="str">
        <f t="shared" si="6"/>
        <v>Master</v>
      </c>
      <c r="M32" s="1" t="str">
        <f>"-100"</f>
        <v>-100</v>
      </c>
      <c r="N32" s="1" t="s">
        <v>176</v>
      </c>
      <c r="O32" s="1">
        <v>1</v>
      </c>
      <c r="P32" s="1" t="s">
        <v>151</v>
      </c>
      <c r="Q32" t="s">
        <v>178</v>
      </c>
    </row>
    <row r="33" spans="1:17" x14ac:dyDescent="0.25">
      <c r="A33" t="str">
        <f>"2018-10-19 17:43:48"</f>
        <v>2018-10-19 17:43:48</v>
      </c>
      <c r="B33" s="1" t="str">
        <f>""</f>
        <v/>
      </c>
      <c r="C33" s="1" t="str">
        <f>"Judo Ju Shin Kan Laterrière"</f>
        <v>Judo Ju Shin Kan Laterrière</v>
      </c>
      <c r="D33" s="1" t="str">
        <f>"QC"</f>
        <v>QC</v>
      </c>
      <c r="E33" s="1" t="str">
        <f>"Quebec"</f>
        <v>Quebec</v>
      </c>
      <c r="F33" s="1" t="str">
        <f>"Patrick"</f>
        <v>Patrick</v>
      </c>
      <c r="G33" s="1" t="str">
        <f>"Grenier"</f>
        <v>Grenier</v>
      </c>
      <c r="H33" s="1" t="str">
        <f>"0171432"</f>
        <v>0171432</v>
      </c>
      <c r="I33" s="1" t="str">
        <f t="shared" si="0"/>
        <v>M</v>
      </c>
      <c r="J33" s="2">
        <v>1977</v>
      </c>
      <c r="K33" s="1" t="str">
        <f>"1D"</f>
        <v>1D</v>
      </c>
      <c r="L33" s="1" t="str">
        <f t="shared" si="6"/>
        <v>Master</v>
      </c>
      <c r="M33" s="1" t="str">
        <f>"-100"</f>
        <v>-100</v>
      </c>
      <c r="N33" s="1" t="s">
        <v>176</v>
      </c>
      <c r="O33" s="1">
        <v>1</v>
      </c>
      <c r="P33" s="1" t="s">
        <v>153</v>
      </c>
      <c r="Q33" t="s">
        <v>178</v>
      </c>
    </row>
    <row r="34" spans="1:17" x14ac:dyDescent="0.25">
      <c r="A34" t="str">
        <f>"2018-10-25 16:22:12"</f>
        <v>2018-10-25 16:22:12</v>
      </c>
      <c r="B34" s="1" t="str">
        <f>""</f>
        <v/>
      </c>
      <c r="C34" s="1" t="str">
        <f>"Club de judo Olympique"</f>
        <v>Club de judo Olympique</v>
      </c>
      <c r="D34" s="1" t="str">
        <f>"QC"</f>
        <v>QC</v>
      </c>
      <c r="E34" s="1" t="str">
        <f>"Quebec"</f>
        <v>Quebec</v>
      </c>
      <c r="F34" s="1" t="str">
        <f>"Amath"</f>
        <v>Amath</v>
      </c>
      <c r="G34" s="1" t="str">
        <f>"Kane"</f>
        <v>Kane</v>
      </c>
      <c r="H34" s="1" t="str">
        <f>"0226652"</f>
        <v>0226652</v>
      </c>
      <c r="I34" s="1" t="str">
        <f t="shared" si="0"/>
        <v>M</v>
      </c>
      <c r="J34" s="2">
        <v>1974</v>
      </c>
      <c r="K34" s="1" t="str">
        <f>"2D"</f>
        <v>2D</v>
      </c>
      <c r="L34" s="1" t="str">
        <f t="shared" si="6"/>
        <v>Master</v>
      </c>
      <c r="M34" s="1" t="str">
        <f>"-100"</f>
        <v>-100</v>
      </c>
      <c r="N34" s="1" t="s">
        <v>176</v>
      </c>
      <c r="O34" s="1">
        <v>1</v>
      </c>
      <c r="P34" s="1" t="s">
        <v>151</v>
      </c>
      <c r="Q34" t="s">
        <v>178</v>
      </c>
    </row>
    <row r="35" spans="1:17" x14ac:dyDescent="0.25">
      <c r="A35" t="str">
        <f>"2018-10-01 23:44:01"</f>
        <v>2018-10-01 23:44:01</v>
      </c>
      <c r="B35" s="1" t="str">
        <f>""</f>
        <v/>
      </c>
      <c r="C35" s="4" t="str">
        <f>"Kohbukan-Sisu Judo Club"</f>
        <v>Kohbukan-Sisu Judo Club</v>
      </c>
      <c r="D35" s="4" t="str">
        <f>"ON"</f>
        <v>ON</v>
      </c>
      <c r="E35" s="4" t="str">
        <f>"Ontario"</f>
        <v>Ontario</v>
      </c>
      <c r="F35" s="4" t="str">
        <f>"Amanda"</f>
        <v>Amanda</v>
      </c>
      <c r="G35" s="4" t="str">
        <f>"McAlpine"</f>
        <v>McAlpine</v>
      </c>
      <c r="H35" s="4" t="str">
        <f>"0208319"</f>
        <v>0208319</v>
      </c>
      <c r="I35" s="4" t="str">
        <f>"F"</f>
        <v>F</v>
      </c>
      <c r="J35" s="5">
        <v>1978</v>
      </c>
      <c r="K35" s="4" t="str">
        <f>"1k"</f>
        <v>1k</v>
      </c>
      <c r="L35" s="4" t="s">
        <v>52</v>
      </c>
      <c r="M35" s="4" t="str">
        <f>"+78"</f>
        <v>+78</v>
      </c>
      <c r="N35" s="4" t="str">
        <f>"110kg"</f>
        <v>110kg</v>
      </c>
      <c r="O35" s="4">
        <v>3</v>
      </c>
      <c r="P35" s="4" t="s">
        <v>24</v>
      </c>
      <c r="Q35" t="s">
        <v>54</v>
      </c>
    </row>
    <row r="36" spans="1:17" x14ac:dyDescent="0.25">
      <c r="A36" t="str">
        <f>"2018-10-02 12:36:51"</f>
        <v>2018-10-02 12:36:51</v>
      </c>
      <c r="B36" s="1" t="s">
        <v>13</v>
      </c>
      <c r="C36" s="4" t="s">
        <v>38</v>
      </c>
      <c r="D36" s="4" t="s">
        <v>15</v>
      </c>
      <c r="E36" s="4" t="s">
        <v>16</v>
      </c>
      <c r="F36" s="4" t="s">
        <v>39</v>
      </c>
      <c r="G36" s="4" t="s">
        <v>40</v>
      </c>
      <c r="H36" s="4" t="s">
        <v>41</v>
      </c>
      <c r="I36" s="4" t="s">
        <v>20</v>
      </c>
      <c r="J36" s="5">
        <v>1980</v>
      </c>
      <c r="K36" s="4" t="s">
        <v>21</v>
      </c>
      <c r="L36" s="4" t="s">
        <v>52</v>
      </c>
      <c r="M36" s="4" t="s">
        <v>42</v>
      </c>
      <c r="N36" s="4" t="s">
        <v>13</v>
      </c>
      <c r="O36" s="4">
        <v>2</v>
      </c>
      <c r="P36" s="4" t="s">
        <v>53</v>
      </c>
      <c r="Q36" t="s">
        <v>54</v>
      </c>
    </row>
    <row r="37" spans="1:17" x14ac:dyDescent="0.25">
      <c r="A37" t="str">
        <f>"2018-10-03 13:27:50"</f>
        <v>2018-10-03 13:27:50</v>
      </c>
      <c r="B37" s="1" t="s">
        <v>13</v>
      </c>
      <c r="C37" s="1" t="s">
        <v>182</v>
      </c>
      <c r="D37" s="1" t="s">
        <v>183</v>
      </c>
      <c r="E37" s="1" t="s">
        <v>184</v>
      </c>
      <c r="F37" s="1" t="s">
        <v>185</v>
      </c>
      <c r="G37" s="1" t="s">
        <v>186</v>
      </c>
      <c r="H37" s="1" t="s">
        <v>187</v>
      </c>
      <c r="I37" s="1" t="s">
        <v>20</v>
      </c>
      <c r="J37" s="2">
        <v>1987</v>
      </c>
      <c r="K37" s="1" t="s">
        <v>33</v>
      </c>
      <c r="L37" s="1" t="s">
        <v>52</v>
      </c>
      <c r="M37" s="1" t="s">
        <v>188</v>
      </c>
      <c r="N37" s="1" t="s">
        <v>13</v>
      </c>
      <c r="O37" s="1">
        <v>2</v>
      </c>
      <c r="P37" s="1"/>
      <c r="Q37" t="s">
        <v>54</v>
      </c>
    </row>
    <row r="38" spans="1:17" x14ac:dyDescent="0.25">
      <c r="A38" t="str">
        <f>"2018-10-02 12:36:51"</f>
        <v>2018-10-02 12:36:51</v>
      </c>
      <c r="B38" s="1" t="str">
        <f>""</f>
        <v/>
      </c>
      <c r="C38" s="1" t="str">
        <f>"Shin Bu Kan"</f>
        <v>Shin Bu Kan</v>
      </c>
      <c r="D38" s="1" t="str">
        <f>"ON"</f>
        <v>ON</v>
      </c>
      <c r="E38" s="1" t="str">
        <f>"Ontario"</f>
        <v>Ontario</v>
      </c>
      <c r="F38" s="1" t="str">
        <f>"Anushka"</f>
        <v>Anushka</v>
      </c>
      <c r="G38" s="1" t="str">
        <f>"Rajaram"</f>
        <v>Rajaram</v>
      </c>
      <c r="H38" s="1" t="str">
        <f>"0195380"</f>
        <v>0195380</v>
      </c>
      <c r="I38" s="1" t="str">
        <f>"F"</f>
        <v>F</v>
      </c>
      <c r="J38" s="2">
        <v>2001</v>
      </c>
      <c r="K38" s="1" t="str">
        <f>"2k"</f>
        <v>2k</v>
      </c>
      <c r="L38" s="1" t="s">
        <v>52</v>
      </c>
      <c r="M38" s="1" t="str">
        <f>"-52"</f>
        <v>-52</v>
      </c>
      <c r="N38" s="1" t="str">
        <f>""</f>
        <v/>
      </c>
      <c r="O38" s="1">
        <v>2</v>
      </c>
      <c r="P38" s="1"/>
      <c r="Q38" t="s">
        <v>54</v>
      </c>
    </row>
    <row r="39" spans="1:17" x14ac:dyDescent="0.25">
      <c r="A39" t="str">
        <f>"2018-09-29 17:42:08"</f>
        <v>2018-09-29 17:42:08</v>
      </c>
      <c r="B39" s="1" t="str">
        <f>""</f>
        <v/>
      </c>
      <c r="C39" s="1" t="str">
        <f>"judo Magog"</f>
        <v>judo Magog</v>
      </c>
      <c r="D39" s="1" t="str">
        <f>"QC"</f>
        <v>QC</v>
      </c>
      <c r="E39" s="1" t="str">
        <f>"Quebec"</f>
        <v>Quebec</v>
      </c>
      <c r="F39" s="1" t="str">
        <f>"Marie Garance"</f>
        <v>Marie Garance</v>
      </c>
      <c r="G39" s="1" t="str">
        <f>"Degasne"</f>
        <v>Degasne</v>
      </c>
      <c r="H39" s="1" t="str">
        <f>"0189082"</f>
        <v>0189082</v>
      </c>
      <c r="I39" s="1" t="str">
        <f>"F"</f>
        <v>F</v>
      </c>
      <c r="J39" s="2">
        <v>1999</v>
      </c>
      <c r="K39" s="1" t="str">
        <f>"1k"</f>
        <v>1k</v>
      </c>
      <c r="L39" s="1" t="s">
        <v>52</v>
      </c>
      <c r="M39" s="1" t="str">
        <f>"-57"</f>
        <v>-57</v>
      </c>
      <c r="N39" s="1" t="str">
        <f>""</f>
        <v/>
      </c>
      <c r="O39" s="1">
        <v>2</v>
      </c>
      <c r="P39" s="1" t="s">
        <v>129</v>
      </c>
      <c r="Q39" t="s">
        <v>54</v>
      </c>
    </row>
    <row r="40" spans="1:17" x14ac:dyDescent="0.25">
      <c r="A40" t="str">
        <f>"2018-09-29 17:42:08"</f>
        <v>2018-09-29 17:42:08</v>
      </c>
      <c r="B40" s="1" t="str">
        <f>""</f>
        <v/>
      </c>
      <c r="C40" s="1" t="str">
        <f>"Mile Zero Judo Club"</f>
        <v>Mile Zero Judo Club</v>
      </c>
      <c r="D40" s="1" t="str">
        <f>"BC"</f>
        <v>BC</v>
      </c>
      <c r="E40" s="1" t="str">
        <f>"British Columbia"</f>
        <v>British Columbia</v>
      </c>
      <c r="F40" s="1" t="str">
        <f>"Sienna"</f>
        <v>Sienna</v>
      </c>
      <c r="G40" s="1" t="str">
        <f>"McCorkell"</f>
        <v>McCorkell</v>
      </c>
      <c r="H40" s="1" t="str">
        <f>"0233057"</f>
        <v>0233057</v>
      </c>
      <c r="I40" s="1" t="str">
        <f>"F"</f>
        <v>F</v>
      </c>
      <c r="J40" s="2">
        <v>2000</v>
      </c>
      <c r="K40" s="1" t="str">
        <f>"3k"</f>
        <v>3k</v>
      </c>
      <c r="L40" s="1" t="s">
        <v>52</v>
      </c>
      <c r="M40" s="1" t="str">
        <f>"-57"</f>
        <v>-57</v>
      </c>
      <c r="N40" s="1" t="str">
        <f>""</f>
        <v/>
      </c>
      <c r="O40" s="1">
        <v>1</v>
      </c>
      <c r="P40" s="1"/>
      <c r="Q40" t="s">
        <v>54</v>
      </c>
    </row>
    <row r="41" spans="1:17" x14ac:dyDescent="0.25">
      <c r="A41" t="str">
        <f>"2018-10-13 22:40:05"</f>
        <v>2018-10-13 22:40:05</v>
      </c>
      <c r="B41" s="1" t="s">
        <v>13</v>
      </c>
      <c r="C41" s="1" t="s">
        <v>189</v>
      </c>
      <c r="D41" s="1" t="s">
        <v>15</v>
      </c>
      <c r="E41" s="1" t="s">
        <v>16</v>
      </c>
      <c r="F41" s="1" t="s">
        <v>190</v>
      </c>
      <c r="G41" s="1" t="s">
        <v>191</v>
      </c>
      <c r="H41" s="1" t="s">
        <v>192</v>
      </c>
      <c r="I41" s="1" t="s">
        <v>32</v>
      </c>
      <c r="J41" s="2">
        <v>1997</v>
      </c>
      <c r="K41" s="1" t="s">
        <v>33</v>
      </c>
      <c r="L41" s="1" t="s">
        <v>52</v>
      </c>
      <c r="M41" s="1" t="s">
        <v>193</v>
      </c>
      <c r="N41" s="1" t="s">
        <v>13</v>
      </c>
      <c r="O41" s="1">
        <v>2</v>
      </c>
      <c r="P41" s="1"/>
      <c r="Q41" t="s">
        <v>194</v>
      </c>
    </row>
    <row r="42" spans="1:17" x14ac:dyDescent="0.25">
      <c r="A42" t="str">
        <f>"2018-10-02 23:29:50"</f>
        <v>2018-10-02 23:29:50</v>
      </c>
      <c r="B42" s="1" t="s">
        <v>13</v>
      </c>
      <c r="C42" s="1" t="s">
        <v>195</v>
      </c>
      <c r="D42" s="1" t="s">
        <v>183</v>
      </c>
      <c r="E42" s="1" t="s">
        <v>184</v>
      </c>
      <c r="F42" s="1" t="s">
        <v>196</v>
      </c>
      <c r="G42" s="1" t="s">
        <v>197</v>
      </c>
      <c r="H42" s="1" t="s">
        <v>198</v>
      </c>
      <c r="I42" s="1" t="s">
        <v>32</v>
      </c>
      <c r="J42" s="2">
        <v>1996</v>
      </c>
      <c r="K42" s="1" t="s">
        <v>21</v>
      </c>
      <c r="L42" s="1" t="s">
        <v>52</v>
      </c>
      <c r="M42" s="1" t="s">
        <v>193</v>
      </c>
      <c r="N42" s="1" t="s">
        <v>13</v>
      </c>
      <c r="O42" s="1">
        <v>2</v>
      </c>
      <c r="P42" s="1"/>
      <c r="Q42" t="s">
        <v>194</v>
      </c>
    </row>
    <row r="43" spans="1:17" x14ac:dyDescent="0.25">
      <c r="A43" t="str">
        <f>"2018-10-12 16:44:01"</f>
        <v>2018-10-12 16:44:01</v>
      </c>
      <c r="B43" s="1" t="s">
        <v>13</v>
      </c>
      <c r="C43" s="1" t="s">
        <v>199</v>
      </c>
      <c r="D43" s="1" t="s">
        <v>106</v>
      </c>
      <c r="E43" s="1" t="s">
        <v>200</v>
      </c>
      <c r="F43" s="1" t="s">
        <v>201</v>
      </c>
      <c r="G43" s="1" t="s">
        <v>202</v>
      </c>
      <c r="H43" s="1" t="s">
        <v>58</v>
      </c>
      <c r="I43" s="1" t="s">
        <v>32</v>
      </c>
      <c r="J43" s="2">
        <v>1998</v>
      </c>
      <c r="K43" s="1" t="s">
        <v>110</v>
      </c>
      <c r="L43" s="1" t="s">
        <v>52</v>
      </c>
      <c r="M43" s="1" t="s">
        <v>112</v>
      </c>
      <c r="N43" s="1" t="s">
        <v>203</v>
      </c>
      <c r="O43" s="1">
        <v>2</v>
      </c>
      <c r="P43" s="1"/>
      <c r="Q43" t="s">
        <v>194</v>
      </c>
    </row>
    <row r="44" spans="1:17" x14ac:dyDescent="0.25">
      <c r="B44" s="1" t="str">
        <f>""</f>
        <v/>
      </c>
      <c r="C44" s="1" t="str">
        <f>"Club de judo de la vieille capitale"</f>
        <v>Club de judo de la vieille capitale</v>
      </c>
      <c r="D44" s="1" t="str">
        <f>"QC"</f>
        <v>QC</v>
      </c>
      <c r="E44" s="1" t="str">
        <f>"Quebec"</f>
        <v>Quebec</v>
      </c>
      <c r="F44" s="1" t="str">
        <f>"Riwan"</f>
        <v>Riwan</v>
      </c>
      <c r="G44" s="1" t="str">
        <f>"Tournier"</f>
        <v>Tournier</v>
      </c>
      <c r="H44" s="1" t="str">
        <f>"0229670"</f>
        <v>0229670</v>
      </c>
      <c r="I44" s="1" t="str">
        <f>"M"</f>
        <v>M</v>
      </c>
      <c r="J44" s="1">
        <v>1998</v>
      </c>
      <c r="K44" s="1" t="s">
        <v>110</v>
      </c>
      <c r="L44" s="1" t="s">
        <v>52</v>
      </c>
      <c r="M44" s="1" t="str">
        <f>"-66"</f>
        <v>-66</v>
      </c>
      <c r="N44" s="1" t="str">
        <f>""</f>
        <v/>
      </c>
      <c r="O44" s="1">
        <v>2</v>
      </c>
      <c r="P44" s="1"/>
      <c r="Q44" t="s">
        <v>194</v>
      </c>
    </row>
    <row r="45" spans="1:17" x14ac:dyDescent="0.25">
      <c r="A45" t="str">
        <f>"2018-10-02 23:29:50"</f>
        <v>2018-10-02 23:29:50</v>
      </c>
      <c r="B45" s="1" t="str">
        <f>""</f>
        <v/>
      </c>
      <c r="C45" s="1" t="str">
        <f>"Cloverdale Judo Club"</f>
        <v>Cloverdale Judo Club</v>
      </c>
      <c r="D45" s="1" t="str">
        <f>"ON"</f>
        <v>ON</v>
      </c>
      <c r="E45" s="1" t="str">
        <f>"Canada"</f>
        <v>Canada</v>
      </c>
      <c r="F45" s="1" t="str">
        <f>"Noah"</f>
        <v>Noah</v>
      </c>
      <c r="G45" s="1" t="str">
        <f>"Barkhouse"</f>
        <v>Barkhouse</v>
      </c>
      <c r="H45" s="7" t="str">
        <f>"AutreFederation"</f>
        <v>AutreFederation</v>
      </c>
      <c r="I45" s="1" t="str">
        <f>"M"</f>
        <v>M</v>
      </c>
      <c r="J45" s="2">
        <v>1999</v>
      </c>
      <c r="K45" s="1" t="str">
        <f>"3k"</f>
        <v>3k</v>
      </c>
      <c r="L45" s="1" t="s">
        <v>52</v>
      </c>
      <c r="M45" s="1" t="str">
        <f>"-73"</f>
        <v>-73</v>
      </c>
      <c r="N45" s="1" t="str">
        <f>""</f>
        <v/>
      </c>
      <c r="O45" s="1">
        <v>2</v>
      </c>
      <c r="P45" s="1"/>
      <c r="Q45" t="s">
        <v>204</v>
      </c>
    </row>
    <row r="46" spans="1:17" x14ac:dyDescent="0.25">
      <c r="A46" t="str">
        <f>"2018-10-13 22:40:05"</f>
        <v>2018-10-13 22:40:05</v>
      </c>
      <c r="B46" s="1" t="s">
        <v>13</v>
      </c>
      <c r="C46" s="1" t="s">
        <v>205</v>
      </c>
      <c r="D46" s="1" t="s">
        <v>206</v>
      </c>
      <c r="E46" s="1" t="s">
        <v>207</v>
      </c>
      <c r="F46" s="1" t="s">
        <v>208</v>
      </c>
      <c r="G46" s="1" t="s">
        <v>209</v>
      </c>
      <c r="H46" s="1" t="s">
        <v>210</v>
      </c>
      <c r="I46" s="1" t="s">
        <v>32</v>
      </c>
      <c r="J46" s="2">
        <v>1986</v>
      </c>
      <c r="K46" s="1" t="s">
        <v>211</v>
      </c>
      <c r="L46" s="1" t="s">
        <v>52</v>
      </c>
      <c r="M46" s="1" t="s">
        <v>34</v>
      </c>
      <c r="N46" s="1" t="s">
        <v>13</v>
      </c>
      <c r="O46" s="1">
        <v>2</v>
      </c>
      <c r="P46" s="1"/>
      <c r="Q46" t="s">
        <v>204</v>
      </c>
    </row>
    <row r="47" spans="1:17" x14ac:dyDescent="0.25">
      <c r="A47" t="str">
        <f>"2018-10-21 19:40:57"</f>
        <v>2018-10-21 19:40:57</v>
      </c>
      <c r="B47" s="1" t="str">
        <f>""</f>
        <v/>
      </c>
      <c r="C47" s="1" t="str">
        <f>"Cloverdale Judo Club"</f>
        <v>Cloverdale Judo Club</v>
      </c>
      <c r="D47" s="1" t="str">
        <f>"ON"</f>
        <v>ON</v>
      </c>
      <c r="E47" s="1" t="str">
        <f>"Canada"</f>
        <v>Canada</v>
      </c>
      <c r="F47" s="1" t="str">
        <f>"Dmitriy"</f>
        <v>Dmitriy</v>
      </c>
      <c r="G47" s="1" t="str">
        <f>"Vilkov"</f>
        <v>Vilkov</v>
      </c>
      <c r="H47" s="7" t="str">
        <f>"AutreFederation"</f>
        <v>AutreFederation</v>
      </c>
      <c r="I47" s="1" t="str">
        <f>"M"</f>
        <v>M</v>
      </c>
      <c r="J47" s="2">
        <v>1997</v>
      </c>
      <c r="K47" s="8" t="str">
        <f>"2k"</f>
        <v>2k</v>
      </c>
      <c r="L47" s="1" t="s">
        <v>52</v>
      </c>
      <c r="M47" s="1" t="str">
        <f>"-73"</f>
        <v>-73</v>
      </c>
      <c r="N47" s="1" t="str">
        <f>""</f>
        <v/>
      </c>
      <c r="O47" s="1">
        <v>1</v>
      </c>
      <c r="P47" s="1"/>
      <c r="Q47" t="s">
        <v>204</v>
      </c>
    </row>
    <row r="48" spans="1:17" x14ac:dyDescent="0.25">
      <c r="A48" t="str">
        <f>"2018-10-05 16:44:24"</f>
        <v>2018-10-05 16:44:24</v>
      </c>
      <c r="B48" s="1" t="str">
        <f>""</f>
        <v/>
      </c>
      <c r="C48" s="1" t="str">
        <f>"Cloverdale Judo Club"</f>
        <v>Cloverdale Judo Club</v>
      </c>
      <c r="D48" s="1" t="str">
        <f>"ON"</f>
        <v>ON</v>
      </c>
      <c r="E48" s="1" t="str">
        <f>"Canada"</f>
        <v>Canada</v>
      </c>
      <c r="F48" s="1" t="str">
        <f>"Everett"</f>
        <v>Everett</v>
      </c>
      <c r="G48" s="1" t="str">
        <f>"Watson"</f>
        <v>Watson</v>
      </c>
      <c r="H48" s="7" t="str">
        <f>"AutreFederation"</f>
        <v>AutreFederation</v>
      </c>
      <c r="I48" s="1" t="str">
        <f>"M"</f>
        <v>M</v>
      </c>
      <c r="J48" s="2">
        <v>1998</v>
      </c>
      <c r="K48" s="1" t="str">
        <f>"3k"</f>
        <v>3k</v>
      </c>
      <c r="L48" s="1" t="s">
        <v>52</v>
      </c>
      <c r="M48" s="1" t="str">
        <f>"-73"</f>
        <v>-73</v>
      </c>
      <c r="N48" s="1" t="str">
        <f>""</f>
        <v/>
      </c>
      <c r="O48" s="1">
        <v>1</v>
      </c>
      <c r="P48" s="1"/>
      <c r="Q48" t="s">
        <v>204</v>
      </c>
    </row>
    <row r="49" spans="1:17" x14ac:dyDescent="0.25">
      <c r="B49" s="1" t="str">
        <f>""</f>
        <v/>
      </c>
      <c r="C49" s="1" t="str">
        <f>"Club de judo Métropolitain inc."</f>
        <v>Club de judo Métropolitain inc.</v>
      </c>
      <c r="D49" s="1" t="str">
        <f>"QC"</f>
        <v>QC</v>
      </c>
      <c r="E49" s="1" t="str">
        <f>"Quebec"</f>
        <v>Quebec</v>
      </c>
      <c r="F49" s="1" t="str">
        <f>"Yanis"</f>
        <v>Yanis</v>
      </c>
      <c r="G49" s="1" t="str">
        <f>"Bejhaj"</f>
        <v>Bejhaj</v>
      </c>
      <c r="H49" s="1" t="str">
        <f>"0230500"</f>
        <v>0230500</v>
      </c>
      <c r="I49" s="1" t="str">
        <f>"M"</f>
        <v>M</v>
      </c>
      <c r="J49" s="1">
        <v>1992</v>
      </c>
      <c r="K49" s="1" t="s">
        <v>73</v>
      </c>
      <c r="L49" s="1" t="s">
        <v>52</v>
      </c>
      <c r="M49" s="1" t="str">
        <f>"-81"</f>
        <v>-81</v>
      </c>
      <c r="N49" s="1" t="str">
        <f>""</f>
        <v/>
      </c>
      <c r="O49" s="1"/>
      <c r="P49" s="1"/>
      <c r="Q49" t="s">
        <v>204</v>
      </c>
    </row>
    <row r="50" spans="1:17" x14ac:dyDescent="0.25">
      <c r="A50" t="str">
        <f>"2018-10-25 01:07:36"</f>
        <v>2018-10-25 01:07:36</v>
      </c>
      <c r="B50" s="1" t="s">
        <v>13</v>
      </c>
      <c r="C50" s="1" t="s">
        <v>199</v>
      </c>
      <c r="D50" s="1" t="s">
        <v>106</v>
      </c>
      <c r="E50" s="1" t="s">
        <v>212</v>
      </c>
      <c r="F50" s="1" t="s">
        <v>213</v>
      </c>
      <c r="G50" s="1" t="s">
        <v>202</v>
      </c>
      <c r="H50" s="1" t="s">
        <v>58</v>
      </c>
      <c r="I50" s="1" t="s">
        <v>32</v>
      </c>
      <c r="J50" s="2">
        <v>1994</v>
      </c>
      <c r="K50" s="1" t="s">
        <v>33</v>
      </c>
      <c r="L50" s="1" t="s">
        <v>52</v>
      </c>
      <c r="M50" s="1" t="s">
        <v>91</v>
      </c>
      <c r="N50" s="1" t="s">
        <v>214</v>
      </c>
      <c r="O50" s="1">
        <v>2</v>
      </c>
      <c r="P50" s="1"/>
      <c r="Q50" t="s">
        <v>204</v>
      </c>
    </row>
    <row r="51" spans="1:17" x14ac:dyDescent="0.25">
      <c r="A51" t="str">
        <f>"2018-10-05 16:44:24"</f>
        <v>2018-10-05 16:44:24</v>
      </c>
      <c r="B51" s="1" t="str">
        <f>""</f>
        <v/>
      </c>
      <c r="C51" s="1" t="str">
        <f>"Cloverdale Judo Club"</f>
        <v>Cloverdale Judo Club</v>
      </c>
      <c r="D51" s="1" t="str">
        <f>"ON"</f>
        <v>ON</v>
      </c>
      <c r="E51" s="1" t="str">
        <f>"Ontario"</f>
        <v>Ontario</v>
      </c>
      <c r="F51" s="1" t="str">
        <f>"Robert"</f>
        <v>Robert</v>
      </c>
      <c r="G51" s="1" t="str">
        <f>"Holtby"</f>
        <v>Holtby</v>
      </c>
      <c r="H51" s="7" t="str">
        <f>"AutreFederation"</f>
        <v>AutreFederation</v>
      </c>
      <c r="I51" s="1" t="str">
        <f>"M"</f>
        <v>M</v>
      </c>
      <c r="J51" s="2">
        <v>1998</v>
      </c>
      <c r="K51" s="1" t="str">
        <f>"3k"</f>
        <v>3k</v>
      </c>
      <c r="L51" s="1" t="s">
        <v>52</v>
      </c>
      <c r="M51" s="1" t="str">
        <f>"-81"</f>
        <v>-81</v>
      </c>
      <c r="N51" s="1" t="str">
        <f>""</f>
        <v/>
      </c>
      <c r="O51" s="1">
        <v>1</v>
      </c>
      <c r="P51" s="1"/>
      <c r="Q51" t="s">
        <v>204</v>
      </c>
    </row>
    <row r="52" spans="1:17" x14ac:dyDescent="0.25">
      <c r="A52" t="str">
        <f>"2018-10-12 16:44:01"</f>
        <v>2018-10-12 16:44:01</v>
      </c>
      <c r="B52" s="1" t="str">
        <f>""</f>
        <v/>
      </c>
      <c r="C52" s="1" t="str">
        <f>"Cloverdale Judo Club"</f>
        <v>Cloverdale Judo Club</v>
      </c>
      <c r="D52" s="1" t="str">
        <f>"ON"</f>
        <v>ON</v>
      </c>
      <c r="E52" s="1" t="str">
        <f>"999999"</f>
        <v>999999</v>
      </c>
      <c r="F52" s="1" t="str">
        <f>"Stephan"</f>
        <v>Stephan</v>
      </c>
      <c r="G52" s="1" t="str">
        <f>"Kim"</f>
        <v>Kim</v>
      </c>
      <c r="H52" s="7" t="str">
        <f>"AutreFederation"</f>
        <v>AutreFederation</v>
      </c>
      <c r="I52" s="1" t="str">
        <f>"M"</f>
        <v>M</v>
      </c>
      <c r="J52" s="2">
        <v>1999</v>
      </c>
      <c r="K52" s="1" t="str">
        <f>"3k"</f>
        <v>3k</v>
      </c>
      <c r="L52" s="1" t="s">
        <v>52</v>
      </c>
      <c r="M52" s="1" t="str">
        <f>"-81"</f>
        <v>-81</v>
      </c>
      <c r="N52" s="1" t="str">
        <f>""</f>
        <v/>
      </c>
      <c r="O52" s="1">
        <v>1</v>
      </c>
      <c r="P52" s="1"/>
      <c r="Q52" t="s">
        <v>204</v>
      </c>
    </row>
    <row r="53" spans="1:17" x14ac:dyDescent="0.25">
      <c r="A53" t="str">
        <f>"2018-10-21 11:57:38"</f>
        <v>2018-10-21 11:57:38</v>
      </c>
      <c r="B53" s="1" t="str">
        <f>""</f>
        <v/>
      </c>
      <c r="C53" s="1" t="str">
        <f>"Cloverdale Judo Club"</f>
        <v>Cloverdale Judo Club</v>
      </c>
      <c r="D53" s="1" t="str">
        <f>"ON"</f>
        <v>ON</v>
      </c>
      <c r="E53" s="1" t="str">
        <f>"Ontario"</f>
        <v>Ontario</v>
      </c>
      <c r="F53" s="1" t="str">
        <f>"Joshua"</f>
        <v>Joshua</v>
      </c>
      <c r="G53" s="1" t="str">
        <f>"Lee"</f>
        <v>Lee</v>
      </c>
      <c r="H53" s="7" t="str">
        <f>"AutreFederation"</f>
        <v>AutreFederation</v>
      </c>
      <c r="I53" s="1" t="str">
        <f>"M"</f>
        <v>M</v>
      </c>
      <c r="J53" s="2">
        <v>1995</v>
      </c>
      <c r="K53" s="8" t="str">
        <f>"2k"</f>
        <v>2k</v>
      </c>
      <c r="L53" s="1" t="s">
        <v>52</v>
      </c>
      <c r="M53" s="1" t="str">
        <f>"-81"</f>
        <v>-81</v>
      </c>
      <c r="N53" s="1" t="str">
        <f>""</f>
        <v/>
      </c>
      <c r="O53" s="1">
        <v>1</v>
      </c>
      <c r="P53" s="1"/>
      <c r="Q53" t="s">
        <v>204</v>
      </c>
    </row>
    <row r="54" spans="1:17" x14ac:dyDescent="0.25">
      <c r="A54" t="str">
        <f>"2018-10-05 12:05:42"</f>
        <v>2018-10-05 12:05:42</v>
      </c>
      <c r="B54" s="1" t="s">
        <v>13</v>
      </c>
      <c r="C54" s="1" t="s">
        <v>215</v>
      </c>
      <c r="D54" s="1" t="s">
        <v>82</v>
      </c>
      <c r="E54" s="1" t="s">
        <v>70</v>
      </c>
      <c r="F54" s="1" t="s">
        <v>216</v>
      </c>
      <c r="G54" s="1" t="s">
        <v>217</v>
      </c>
      <c r="H54" s="1" t="s">
        <v>218</v>
      </c>
      <c r="I54" s="1" t="s">
        <v>32</v>
      </c>
      <c r="J54" s="2">
        <v>1993</v>
      </c>
      <c r="K54" s="1" t="s">
        <v>110</v>
      </c>
      <c r="L54" s="1" t="s">
        <v>52</v>
      </c>
      <c r="M54" s="1" t="s">
        <v>91</v>
      </c>
      <c r="N54" s="1" t="s">
        <v>13</v>
      </c>
      <c r="O54" s="1">
        <v>2</v>
      </c>
      <c r="P54" s="1"/>
      <c r="Q54" t="s">
        <v>204</v>
      </c>
    </row>
    <row r="55" spans="1:17" x14ac:dyDescent="0.25">
      <c r="A55" t="str">
        <f>"2018-10-03 13:27:50"</f>
        <v>2018-10-03 13:27:50</v>
      </c>
      <c r="B55" s="1" t="s">
        <v>13</v>
      </c>
      <c r="C55" s="1" t="s">
        <v>219</v>
      </c>
      <c r="D55" s="1" t="s">
        <v>27</v>
      </c>
      <c r="E55" s="1" t="s">
        <v>28</v>
      </c>
      <c r="F55" s="1" t="s">
        <v>220</v>
      </c>
      <c r="G55" s="1" t="s">
        <v>221</v>
      </c>
      <c r="H55" s="1" t="s">
        <v>222</v>
      </c>
      <c r="I55" s="1" t="s">
        <v>32</v>
      </c>
      <c r="J55" s="2">
        <v>1994</v>
      </c>
      <c r="K55" s="1" t="s">
        <v>110</v>
      </c>
      <c r="L55" s="1" t="s">
        <v>52</v>
      </c>
      <c r="M55" s="1" t="s">
        <v>223</v>
      </c>
      <c r="N55" s="1" t="s">
        <v>223</v>
      </c>
      <c r="O55" s="1">
        <v>2</v>
      </c>
      <c r="P55" s="1"/>
      <c r="Q55" t="s">
        <v>224</v>
      </c>
    </row>
    <row r="56" spans="1:17" x14ac:dyDescent="0.25">
      <c r="A56" t="str">
        <f>"2018-09-22 23:43:55"</f>
        <v>2018-09-22 23:43:55</v>
      </c>
      <c r="B56" s="1" t="s">
        <v>13</v>
      </c>
      <c r="C56" s="1" t="s">
        <v>125</v>
      </c>
      <c r="D56" s="1" t="s">
        <v>15</v>
      </c>
      <c r="E56" s="1" t="s">
        <v>16</v>
      </c>
      <c r="F56" s="1" t="s">
        <v>225</v>
      </c>
      <c r="G56" s="1" t="s">
        <v>226</v>
      </c>
      <c r="H56" s="1" t="s">
        <v>227</v>
      </c>
      <c r="I56" s="1" t="s">
        <v>32</v>
      </c>
      <c r="J56" s="2">
        <v>1997</v>
      </c>
      <c r="K56" s="1" t="s">
        <v>110</v>
      </c>
      <c r="L56" s="1" t="s">
        <v>52</v>
      </c>
      <c r="M56" s="1" t="s">
        <v>223</v>
      </c>
      <c r="N56" s="1" t="s">
        <v>13</v>
      </c>
      <c r="O56" s="1">
        <v>2</v>
      </c>
      <c r="P56" s="1"/>
      <c r="Q56" t="s">
        <v>224</v>
      </c>
    </row>
    <row r="57" spans="1:17" x14ac:dyDescent="0.25">
      <c r="A57" t="str">
        <f>"2018-10-25 01:07:36"</f>
        <v>2018-10-25 01:07:36</v>
      </c>
      <c r="B57" s="1" t="s">
        <v>13</v>
      </c>
      <c r="C57" s="1" t="s">
        <v>228</v>
      </c>
      <c r="D57" s="1" t="s">
        <v>15</v>
      </c>
      <c r="E57" s="1" t="s">
        <v>16</v>
      </c>
      <c r="F57" s="1" t="s">
        <v>229</v>
      </c>
      <c r="G57" s="1" t="s">
        <v>230</v>
      </c>
      <c r="H57" s="1" t="s">
        <v>231</v>
      </c>
      <c r="I57" s="1" t="s">
        <v>32</v>
      </c>
      <c r="J57" s="2">
        <v>1971</v>
      </c>
      <c r="K57" s="1" t="s">
        <v>110</v>
      </c>
      <c r="L57" s="1" t="s">
        <v>52</v>
      </c>
      <c r="M57" s="1" t="s">
        <v>223</v>
      </c>
      <c r="N57" s="1" t="s">
        <v>13</v>
      </c>
      <c r="O57" s="1">
        <v>2</v>
      </c>
      <c r="P57" s="1"/>
      <c r="Q57" t="s">
        <v>224</v>
      </c>
    </row>
    <row r="58" spans="1:17" x14ac:dyDescent="0.25">
      <c r="A58" t="str">
        <f>"2018-10-25 23:18:54"</f>
        <v>2018-10-25 23:18:54</v>
      </c>
      <c r="B58" s="1" t="str">
        <f>""</f>
        <v/>
      </c>
      <c r="C58" s="1" t="str">
        <f>"Cloverdale Judo Club"</f>
        <v>Cloverdale Judo Club</v>
      </c>
      <c r="D58" s="1" t="str">
        <f>"ON"</f>
        <v>ON</v>
      </c>
      <c r="E58" s="1" t="str">
        <f>"ONTARIO CANADA"</f>
        <v>ONTARIO CANADA</v>
      </c>
      <c r="F58" s="1" t="str">
        <f>"Yeong Nam"</f>
        <v>Yeong Nam</v>
      </c>
      <c r="G58" s="1" t="str">
        <f>"Jo"</f>
        <v>Jo</v>
      </c>
      <c r="H58" s="7" t="str">
        <f>"AutreFederation"</f>
        <v>AutreFederation</v>
      </c>
      <c r="I58" s="1" t="str">
        <f>"M"</f>
        <v>M</v>
      </c>
      <c r="J58" s="2">
        <v>1998</v>
      </c>
      <c r="K58" s="8" t="str">
        <f>"2k"</f>
        <v>2k</v>
      </c>
      <c r="L58" s="1" t="s">
        <v>52</v>
      </c>
      <c r="M58" s="1" t="str">
        <f>"-90"</f>
        <v>-90</v>
      </c>
      <c r="N58" s="1" t="str">
        <f>""</f>
        <v/>
      </c>
      <c r="O58" s="1">
        <v>1</v>
      </c>
      <c r="P58" s="1"/>
      <c r="Q58" t="s">
        <v>224</v>
      </c>
    </row>
    <row r="59" spans="1:17" x14ac:dyDescent="0.25">
      <c r="B59" s="1" t="str">
        <f>""</f>
        <v/>
      </c>
      <c r="C59" s="1" t="str">
        <f>"Itc Budokan"</f>
        <v>Itc Budokan</v>
      </c>
      <c r="D59" s="1" t="str">
        <f>"QC"</f>
        <v>QC</v>
      </c>
      <c r="E59" s="1" t="str">
        <f>"Quebec"</f>
        <v>Quebec</v>
      </c>
      <c r="F59" s="1" t="str">
        <f>"Clément"</f>
        <v>Clément</v>
      </c>
      <c r="G59" s="1" t="str">
        <f>"Marty"</f>
        <v>Marty</v>
      </c>
      <c r="H59" s="1" t="str">
        <f>"0164002"</f>
        <v>0164002</v>
      </c>
      <c r="I59" s="1" t="str">
        <f>"M"</f>
        <v>M</v>
      </c>
      <c r="J59" s="1">
        <v>1988</v>
      </c>
      <c r="K59" s="1" t="s">
        <v>33</v>
      </c>
      <c r="L59" s="1" t="s">
        <v>52</v>
      </c>
      <c r="M59" s="1" t="str">
        <f>"-90"</f>
        <v>-90</v>
      </c>
      <c r="N59" s="1" t="str">
        <f>""</f>
        <v/>
      </c>
      <c r="O59" s="1"/>
      <c r="P59" s="1"/>
      <c r="Q59" t="s">
        <v>224</v>
      </c>
    </row>
    <row r="60" spans="1:17" x14ac:dyDescent="0.25">
      <c r="A60" t="str">
        <f>"2018-10-18 14:52:41"</f>
        <v>2018-10-18 14:52:41</v>
      </c>
      <c r="B60" s="1" t="str">
        <f>""</f>
        <v/>
      </c>
      <c r="C60" s="1" t="str">
        <f>"Cloverdale Judo Club"</f>
        <v>Cloverdale Judo Club</v>
      </c>
      <c r="D60" s="1" t="str">
        <f>"ON"</f>
        <v>ON</v>
      </c>
      <c r="E60" s="1" t="str">
        <f>"Ontario"</f>
        <v>Ontario</v>
      </c>
      <c r="F60" s="1" t="str">
        <f>"Jared"</f>
        <v>Jared</v>
      </c>
      <c r="G60" s="1" t="str">
        <f>"Weir"</f>
        <v>Weir</v>
      </c>
      <c r="H60" s="7" t="str">
        <f>"AutreFederation"</f>
        <v>AutreFederation</v>
      </c>
      <c r="I60" s="1" t="str">
        <f>"M"</f>
        <v>M</v>
      </c>
      <c r="J60" s="2">
        <v>1997</v>
      </c>
      <c r="K60" s="8" t="str">
        <f>"2k"</f>
        <v>2k</v>
      </c>
      <c r="L60" s="1" t="s">
        <v>52</v>
      </c>
      <c r="M60" s="1" t="str">
        <f>"-90"</f>
        <v>-90</v>
      </c>
      <c r="N60" s="1" t="str">
        <f>""</f>
        <v/>
      </c>
      <c r="O60" s="1">
        <v>1</v>
      </c>
      <c r="P60" s="1"/>
      <c r="Q60" t="s">
        <v>224</v>
      </c>
    </row>
    <row r="61" spans="1:17" x14ac:dyDescent="0.25">
      <c r="A61" t="str">
        <f>"2018-10-20 21:35:40"</f>
        <v>2018-10-20 21:35:40</v>
      </c>
      <c r="B61" s="1" t="str">
        <f>""</f>
        <v/>
      </c>
      <c r="C61" s="1" t="str">
        <f>"Huntsville Judo Club"</f>
        <v>Huntsville Judo Club</v>
      </c>
      <c r="D61" s="1" t="str">
        <f>"ON"</f>
        <v>ON</v>
      </c>
      <c r="E61" s="1" t="str">
        <f>"Yukon"</f>
        <v>Yukon</v>
      </c>
      <c r="F61" s="1" t="str">
        <f>"Chris"</f>
        <v>Chris</v>
      </c>
      <c r="G61" s="1" t="str">
        <f>"Muirhead"</f>
        <v>Muirhead</v>
      </c>
      <c r="H61" s="1" t="str">
        <f>"0120281"</f>
        <v>0120281</v>
      </c>
      <c r="I61" s="1" t="str">
        <f>"M"</f>
        <v>M</v>
      </c>
      <c r="J61" s="2">
        <v>1992</v>
      </c>
      <c r="K61" s="1" t="str">
        <f>"2D"</f>
        <v>2D</v>
      </c>
      <c r="L61" s="1" t="s">
        <v>59</v>
      </c>
      <c r="M61" s="1" t="str">
        <f>"+100"</f>
        <v>+100</v>
      </c>
      <c r="N61" s="1" t="str">
        <f>"+100kg"</f>
        <v>+100kg</v>
      </c>
      <c r="O61" s="1">
        <v>2</v>
      </c>
      <c r="P61" s="1"/>
      <c r="Q61" t="s">
        <v>232</v>
      </c>
    </row>
    <row r="62" spans="1:17" x14ac:dyDescent="0.25">
      <c r="A62" t="str">
        <f>"2018-10-16 20:51:59"</f>
        <v>2018-10-16 20:51:59</v>
      </c>
      <c r="B62" s="1" t="str">
        <f>""</f>
        <v/>
      </c>
      <c r="C62" s="4" t="str">
        <f>"The Art Of Balance Dojo"</f>
        <v>The Art Of Balance Dojo</v>
      </c>
      <c r="D62" s="4" t="str">
        <f>"ON"</f>
        <v>ON</v>
      </c>
      <c r="E62" s="4" t="str">
        <f>"Ontario"</f>
        <v>Ontario</v>
      </c>
      <c r="F62" s="4" t="str">
        <f>"Josephine"</f>
        <v>Josephine</v>
      </c>
      <c r="G62" s="4" t="str">
        <f>"Morgenroth"</f>
        <v>Morgenroth</v>
      </c>
      <c r="H62" s="4" t="str">
        <f>"AutreFederation"</f>
        <v>AutreFederation</v>
      </c>
      <c r="I62" s="4" t="str">
        <f>"F"</f>
        <v>F</v>
      </c>
      <c r="J62" s="5">
        <v>1992</v>
      </c>
      <c r="K62" s="4" t="str">
        <f>"1k"</f>
        <v>1k</v>
      </c>
      <c r="L62" s="4" t="s">
        <v>59</v>
      </c>
      <c r="M62" s="4" t="str">
        <f>"+78"</f>
        <v>+78</v>
      </c>
      <c r="N62" s="4" t="str">
        <f>""</f>
        <v/>
      </c>
      <c r="O62" s="4">
        <v>2</v>
      </c>
      <c r="P62" s="4" t="s">
        <v>24</v>
      </c>
      <c r="Q62" t="s">
        <v>60</v>
      </c>
    </row>
    <row r="63" spans="1:17" x14ac:dyDescent="0.25">
      <c r="A63" t="str">
        <f>"2018-10-16 20:51:59"</f>
        <v>2018-10-16 20:51:59</v>
      </c>
      <c r="B63" s="1" t="str">
        <f>""</f>
        <v/>
      </c>
      <c r="C63" s="1" t="str">
        <f>"Steveston Judo Club"</f>
        <v>Steveston Judo Club</v>
      </c>
      <c r="D63" s="1" t="str">
        <f>"BC"</f>
        <v>BC</v>
      </c>
      <c r="E63" s="1" t="str">
        <f>"British Columbia"</f>
        <v>British Columbia</v>
      </c>
      <c r="F63" s="1" t="str">
        <f>"Tavis"</f>
        <v>Tavis</v>
      </c>
      <c r="G63" s="1" t="str">
        <f>"Jamieson"</f>
        <v>Jamieson</v>
      </c>
      <c r="H63" s="1" t="str">
        <f>"0154080"</f>
        <v>0154080</v>
      </c>
      <c r="I63" s="1" t="str">
        <f t="shared" ref="I63:I74" si="7">"M"</f>
        <v>M</v>
      </c>
      <c r="J63" s="2">
        <v>1996</v>
      </c>
      <c r="K63" s="1" t="str">
        <f>"2D"</f>
        <v>2D</v>
      </c>
      <c r="L63" s="1" t="s">
        <v>59</v>
      </c>
      <c r="M63" s="1" t="str">
        <f>"-100"</f>
        <v>-100</v>
      </c>
      <c r="N63" s="1" t="str">
        <f>"100kg"</f>
        <v>100kg</v>
      </c>
      <c r="O63" s="1">
        <v>2</v>
      </c>
      <c r="P63" s="1"/>
      <c r="Q63" t="s">
        <v>232</v>
      </c>
    </row>
    <row r="64" spans="1:17" x14ac:dyDescent="0.25">
      <c r="A64" t="str">
        <f>"2018-10-21 13:55:50"</f>
        <v>2018-10-21 13:55:50</v>
      </c>
      <c r="B64" s="1" t="str">
        <f>""</f>
        <v/>
      </c>
      <c r="C64" s="1" t="str">
        <f>"Fredericton Judo Club"</f>
        <v>Fredericton Judo Club</v>
      </c>
      <c r="D64" s="1" t="str">
        <f>"NB"</f>
        <v>NB</v>
      </c>
      <c r="E64" s="1" t="str">
        <f>"New Brunswick"</f>
        <v>New Brunswick</v>
      </c>
      <c r="F64" s="1" t="str">
        <f>"Andrew"</f>
        <v>Andrew</v>
      </c>
      <c r="G64" s="1" t="str">
        <f>"Blaney"</f>
        <v>Blaney</v>
      </c>
      <c r="H64" s="1" t="str">
        <f>"0134795"</f>
        <v>0134795</v>
      </c>
      <c r="I64" s="1" t="str">
        <f t="shared" si="7"/>
        <v>M</v>
      </c>
      <c r="J64" s="2">
        <v>1997</v>
      </c>
      <c r="K64" s="1" t="str">
        <f>"1D"</f>
        <v>1D</v>
      </c>
      <c r="L64" s="1" t="str">
        <f>"Senior"</f>
        <v>Senior</v>
      </c>
      <c r="M64" s="1" t="str">
        <f t="shared" ref="M64:M74" si="8">"+100"</f>
        <v>+100</v>
      </c>
      <c r="N64" s="1" t="str">
        <f>""</f>
        <v/>
      </c>
      <c r="O64" s="1">
        <v>1</v>
      </c>
      <c r="P64" s="1"/>
      <c r="Q64" t="s">
        <v>233</v>
      </c>
    </row>
    <row r="65" spans="1:17" x14ac:dyDescent="0.25">
      <c r="A65" t="str">
        <f>"2018-10-21 13:55:50"</f>
        <v>2018-10-21 13:55:50</v>
      </c>
      <c r="B65" s="1" t="str">
        <f>""</f>
        <v/>
      </c>
      <c r="C65" s="1" t="str">
        <f>"Takahashi Dojo"</f>
        <v>Takahashi Dojo</v>
      </c>
      <c r="D65" s="1" t="str">
        <f>"ON"</f>
        <v>ON</v>
      </c>
      <c r="E65" s="1" t="str">
        <f>"Ontario"</f>
        <v>Ontario</v>
      </c>
      <c r="F65" s="1" t="str">
        <f>"Nicholas"</f>
        <v>Nicholas</v>
      </c>
      <c r="G65" s="1" t="str">
        <f>"Doré"</f>
        <v>Doré</v>
      </c>
      <c r="H65" s="1" t="str">
        <f>"0216118"</f>
        <v>0216118</v>
      </c>
      <c r="I65" s="1" t="str">
        <f t="shared" si="7"/>
        <v>M</v>
      </c>
      <c r="J65" s="2">
        <v>1999</v>
      </c>
      <c r="K65" s="1" t="str">
        <f>"1k"</f>
        <v>1k</v>
      </c>
      <c r="L65" s="1" t="s">
        <v>65</v>
      </c>
      <c r="M65" s="1" t="str">
        <f t="shared" si="8"/>
        <v>+100</v>
      </c>
      <c r="N65" s="1" t="str">
        <f>""</f>
        <v/>
      </c>
      <c r="O65" s="1">
        <v>2</v>
      </c>
      <c r="P65" s="1"/>
      <c r="Q65" t="s">
        <v>233</v>
      </c>
    </row>
    <row r="66" spans="1:17" x14ac:dyDescent="0.25">
      <c r="A66" t="str">
        <f>"2018-10-21 13:55:50"</f>
        <v>2018-10-21 13:55:50</v>
      </c>
      <c r="B66" s="1" t="str">
        <f>""</f>
        <v/>
      </c>
      <c r="C66" s="1" t="str">
        <f>"Kam Lake Territorial Centre"</f>
        <v>Kam Lake Territorial Centre</v>
      </c>
      <c r="D66" s="1" t="str">
        <f>"NT"</f>
        <v>NT</v>
      </c>
      <c r="E66" s="1" t="str">
        <f>"Northwest Territories"</f>
        <v>Northwest Territories</v>
      </c>
      <c r="F66" s="1" t="str">
        <f>"Wilson"</f>
        <v>Wilson</v>
      </c>
      <c r="G66" s="1" t="str">
        <f>"Elliot"</f>
        <v>Elliot</v>
      </c>
      <c r="H66" s="1" t="str">
        <f>"0187334"</f>
        <v>0187334</v>
      </c>
      <c r="I66" s="1" t="str">
        <f t="shared" si="7"/>
        <v>M</v>
      </c>
      <c r="J66" s="2">
        <v>2001</v>
      </c>
      <c r="K66" s="1" t="str">
        <f>"1k"</f>
        <v>1k</v>
      </c>
      <c r="L66" s="1" t="s">
        <v>65</v>
      </c>
      <c r="M66" s="1" t="str">
        <f t="shared" si="8"/>
        <v>+100</v>
      </c>
      <c r="N66" s="1" t="str">
        <f>""</f>
        <v/>
      </c>
      <c r="O66" s="1">
        <v>2</v>
      </c>
      <c r="P66" s="1"/>
      <c r="Q66" t="s">
        <v>233</v>
      </c>
    </row>
    <row r="67" spans="1:17" x14ac:dyDescent="0.25">
      <c r="A67" t="str">
        <f>"2018-10-21 13:01:11"</f>
        <v>2018-10-21 13:01:11</v>
      </c>
      <c r="B67" s="1" t="str">
        <f>""</f>
        <v/>
      </c>
      <c r="C67" s="1" t="str">
        <f>"Club de Judo d'Asbestos-Danville"</f>
        <v>Club de Judo d'Asbestos-Danville</v>
      </c>
      <c r="D67" s="1" t="str">
        <f>"QC"</f>
        <v>QC</v>
      </c>
      <c r="E67" s="1" t="str">
        <f>"Quebec"</f>
        <v>Quebec</v>
      </c>
      <c r="F67" s="1" t="str">
        <f>"Kevin"</f>
        <v>Kevin</v>
      </c>
      <c r="G67" s="1" t="str">
        <f>"Gauthier"</f>
        <v>Gauthier</v>
      </c>
      <c r="H67" s="1" t="str">
        <f>"0152619"</f>
        <v>0152619</v>
      </c>
      <c r="I67" s="1" t="str">
        <f t="shared" si="7"/>
        <v>M</v>
      </c>
      <c r="J67" s="2">
        <v>1997</v>
      </c>
      <c r="K67" s="1" t="str">
        <f>"1D"</f>
        <v>1D</v>
      </c>
      <c r="L67" s="1" t="str">
        <f>"Senior"</f>
        <v>Senior</v>
      </c>
      <c r="M67" s="1" t="str">
        <f t="shared" si="8"/>
        <v>+100</v>
      </c>
      <c r="N67" s="1" t="str">
        <f>""</f>
        <v/>
      </c>
      <c r="O67" s="1">
        <v>1</v>
      </c>
      <c r="P67" s="1"/>
      <c r="Q67" t="s">
        <v>233</v>
      </c>
    </row>
    <row r="68" spans="1:17" x14ac:dyDescent="0.25">
      <c r="A68" t="str">
        <f>"2018-10-21 11:57:38"</f>
        <v>2018-10-21 11:57:38</v>
      </c>
      <c r="B68" s="1" t="str">
        <f>""</f>
        <v/>
      </c>
      <c r="C68" s="1" t="str">
        <f>"Swift Current"</f>
        <v>Swift Current</v>
      </c>
      <c r="D68" s="1" t="str">
        <f>"SK"</f>
        <v>SK</v>
      </c>
      <c r="E68" s="1" t="str">
        <f>"Saskatchewan"</f>
        <v>Saskatchewan</v>
      </c>
      <c r="F68" s="1" t="str">
        <f>"Toru"</f>
        <v>Toru</v>
      </c>
      <c r="G68" s="1" t="str">
        <f>"Iwaasa"</f>
        <v>Iwaasa</v>
      </c>
      <c r="H68" s="1" t="str">
        <f>"0159831"</f>
        <v>0159831</v>
      </c>
      <c r="I68" s="1" t="str">
        <f t="shared" si="7"/>
        <v>M</v>
      </c>
      <c r="J68" s="2">
        <v>2000</v>
      </c>
      <c r="K68" s="1" t="str">
        <f>"1k"</f>
        <v>1k</v>
      </c>
      <c r="L68" s="1" t="s">
        <v>65</v>
      </c>
      <c r="M68" s="1" t="str">
        <f t="shared" si="8"/>
        <v>+100</v>
      </c>
      <c r="N68" s="1" t="str">
        <f>""</f>
        <v/>
      </c>
      <c r="O68" s="1">
        <v>2</v>
      </c>
      <c r="P68" s="1"/>
      <c r="Q68" t="s">
        <v>233</v>
      </c>
    </row>
    <row r="69" spans="1:17" x14ac:dyDescent="0.25">
      <c r="A69" t="str">
        <f>"2018-10-20 20:50:41"</f>
        <v>2018-10-20 20:50:41</v>
      </c>
      <c r="B69" s="1" t="str">
        <f>""</f>
        <v/>
      </c>
      <c r="C69" s="1" t="str">
        <f>"Huntsville Judo Club"</f>
        <v>Huntsville Judo Club</v>
      </c>
      <c r="D69" s="1" t="str">
        <f>"ON"</f>
        <v>ON</v>
      </c>
      <c r="E69" s="1" t="str">
        <f>"Yukon"</f>
        <v>Yukon</v>
      </c>
      <c r="F69" s="1" t="str">
        <f>"Chris"</f>
        <v>Chris</v>
      </c>
      <c r="G69" s="1" t="str">
        <f>"Muirhead"</f>
        <v>Muirhead</v>
      </c>
      <c r="H69" s="1" t="str">
        <f>"0120281"</f>
        <v>0120281</v>
      </c>
      <c r="I69" s="1" t="str">
        <f t="shared" si="7"/>
        <v>M</v>
      </c>
      <c r="J69" s="2">
        <v>1992</v>
      </c>
      <c r="K69" s="1" t="str">
        <f>"2D"</f>
        <v>2D</v>
      </c>
      <c r="L69" s="1" t="s">
        <v>65</v>
      </c>
      <c r="M69" s="1" t="str">
        <f t="shared" si="8"/>
        <v>+100</v>
      </c>
      <c r="N69" s="1" t="str">
        <f>"+100kg"</f>
        <v>+100kg</v>
      </c>
      <c r="O69" s="1">
        <v>2</v>
      </c>
      <c r="P69" s="1"/>
      <c r="Q69" t="s">
        <v>233</v>
      </c>
    </row>
    <row r="70" spans="1:17" x14ac:dyDescent="0.25">
      <c r="A70" t="str">
        <f>"2018-10-21 13:55:50"</f>
        <v>2018-10-21 13:55:50</v>
      </c>
      <c r="B70" s="1" t="str">
        <f>""</f>
        <v/>
      </c>
      <c r="C70" s="1" t="str">
        <f>"Club de judo Shidokan inc."</f>
        <v>Club de judo Shidokan inc.</v>
      </c>
      <c r="D70" s="1" t="str">
        <f>"QC"</f>
        <v>QC</v>
      </c>
      <c r="E70" s="1" t="str">
        <f>"Quebec"</f>
        <v>Quebec</v>
      </c>
      <c r="F70" s="1" t="str">
        <f>"Maxime"</f>
        <v>Maxime</v>
      </c>
      <c r="G70" s="1" t="str">
        <f>"Ouimet"</f>
        <v>Ouimet</v>
      </c>
      <c r="H70" s="1" t="str">
        <f>"0087097"</f>
        <v>0087097</v>
      </c>
      <c r="I70" s="1" t="str">
        <f t="shared" si="7"/>
        <v>M</v>
      </c>
      <c r="J70" s="2">
        <v>1990</v>
      </c>
      <c r="K70" s="1" t="str">
        <f>"1k"</f>
        <v>1k</v>
      </c>
      <c r="L70" s="1" t="str">
        <f>"Senior"</f>
        <v>Senior</v>
      </c>
      <c r="M70" s="1" t="str">
        <f t="shared" si="8"/>
        <v>+100</v>
      </c>
      <c r="N70" s="1" t="str">
        <f>""</f>
        <v/>
      </c>
      <c r="O70" s="1">
        <v>1</v>
      </c>
      <c r="P70" s="1"/>
      <c r="Q70" t="s">
        <v>233</v>
      </c>
    </row>
    <row r="71" spans="1:17" x14ac:dyDescent="0.25">
      <c r="A71" t="str">
        <f>"2018-10-21 13:55:50"</f>
        <v>2018-10-21 13:55:50</v>
      </c>
      <c r="B71" s="1" t="str">
        <f>""</f>
        <v/>
      </c>
      <c r="C71" s="1" t="str">
        <f>"The Art Of Balance Dojo"</f>
        <v>The Art Of Balance Dojo</v>
      </c>
      <c r="D71" s="1" t="str">
        <f>"ON"</f>
        <v>ON</v>
      </c>
      <c r="E71" s="1" t="str">
        <f>"Ontario"</f>
        <v>Ontario</v>
      </c>
      <c r="F71" s="1" t="str">
        <f>"Shahabeddin"</f>
        <v>Shahabeddin</v>
      </c>
      <c r="G71" s="1" t="str">
        <f>"Pesteh"</f>
        <v>Pesteh</v>
      </c>
      <c r="H71" s="1" t="str">
        <f>"0225286"</f>
        <v>0225286</v>
      </c>
      <c r="I71" s="1" t="str">
        <f t="shared" si="7"/>
        <v>M</v>
      </c>
      <c r="J71" s="2">
        <v>1991</v>
      </c>
      <c r="K71" s="1" t="str">
        <f>"1k"</f>
        <v>1k</v>
      </c>
      <c r="L71" s="1" t="str">
        <f>"Senior"</f>
        <v>Senior</v>
      </c>
      <c r="M71" s="1" t="str">
        <f t="shared" si="8"/>
        <v>+100</v>
      </c>
      <c r="N71" s="1" t="str">
        <f>""</f>
        <v/>
      </c>
      <c r="O71" s="1">
        <v>1</v>
      </c>
      <c r="P71" s="1"/>
      <c r="Q71" t="s">
        <v>233</v>
      </c>
    </row>
    <row r="72" spans="1:17" x14ac:dyDescent="0.25">
      <c r="A72" t="str">
        <f>"2018-10-21 13:55:50"</f>
        <v>2018-10-21 13:55:50</v>
      </c>
      <c r="B72" s="1" t="str">
        <f>""</f>
        <v/>
      </c>
      <c r="C72" s="1" t="str">
        <f>"Dojo Perrot Shima"</f>
        <v>Dojo Perrot Shima</v>
      </c>
      <c r="D72" s="1" t="str">
        <f>"QC"</f>
        <v>QC</v>
      </c>
      <c r="E72" s="1" t="str">
        <f>"Quebec"</f>
        <v>Quebec</v>
      </c>
      <c r="F72" s="1" t="str">
        <f>"Ryan"</f>
        <v>Ryan</v>
      </c>
      <c r="G72" s="1" t="str">
        <f>"Proulx"</f>
        <v>Proulx</v>
      </c>
      <c r="H72" s="1" t="str">
        <f>"0085377"</f>
        <v>0085377</v>
      </c>
      <c r="I72" s="1" t="str">
        <f t="shared" si="7"/>
        <v>M</v>
      </c>
      <c r="J72" s="2">
        <v>1995</v>
      </c>
      <c r="K72" s="1" t="str">
        <f>"2D"</f>
        <v>2D</v>
      </c>
      <c r="L72" s="1" t="str">
        <f>"Senior"</f>
        <v>Senior</v>
      </c>
      <c r="M72" s="1" t="str">
        <f t="shared" si="8"/>
        <v>+100</v>
      </c>
      <c r="N72" s="1" t="str">
        <f>""</f>
        <v/>
      </c>
      <c r="O72" s="1">
        <v>1</v>
      </c>
      <c r="P72" s="1"/>
      <c r="Q72" t="s">
        <v>233</v>
      </c>
    </row>
    <row r="73" spans="1:17" x14ac:dyDescent="0.25">
      <c r="A73" t="str">
        <f>"2018-10-21 11:57:38"</f>
        <v>2018-10-21 11:57:38</v>
      </c>
      <c r="B73" s="1" t="str">
        <f>""</f>
        <v/>
      </c>
      <c r="C73" s="1" t="str">
        <f>"Kiseki Judo"</f>
        <v>Kiseki Judo</v>
      </c>
      <c r="D73" s="1" t="str">
        <f>"QC"</f>
        <v>QC</v>
      </c>
      <c r="E73" s="1" t="str">
        <f>"Quebec"</f>
        <v>Quebec</v>
      </c>
      <c r="F73" s="1" t="str">
        <f>"Issac"</f>
        <v>Issac</v>
      </c>
      <c r="G73" s="1" t="str">
        <f>"Pudas"</f>
        <v>Pudas</v>
      </c>
      <c r="H73" s="1" t="str">
        <f>"0240672"</f>
        <v>0240672</v>
      </c>
      <c r="I73" s="1" t="str">
        <f t="shared" si="7"/>
        <v>M</v>
      </c>
      <c r="J73" s="2">
        <v>1975</v>
      </c>
      <c r="K73" s="1" t="s">
        <v>158</v>
      </c>
      <c r="L73" s="1" t="s">
        <v>65</v>
      </c>
      <c r="M73" s="1" t="str">
        <f t="shared" si="8"/>
        <v>+100</v>
      </c>
      <c r="N73" s="1" t="str">
        <f>""</f>
        <v/>
      </c>
      <c r="O73" s="1">
        <v>2</v>
      </c>
      <c r="P73" s="1"/>
      <c r="Q73" t="s">
        <v>233</v>
      </c>
    </row>
    <row r="74" spans="1:17" x14ac:dyDescent="0.25">
      <c r="A74" t="str">
        <f>"2018-10-21 13:55:50"</f>
        <v>2018-10-21 13:55:50</v>
      </c>
      <c r="B74" s="1" t="str">
        <f>""</f>
        <v/>
      </c>
      <c r="C74" s="1" t="str">
        <f>"Pedro's Judo National Team Force"</f>
        <v>Pedro's Judo National Team Force</v>
      </c>
      <c r="D74" s="1" t="s">
        <v>106</v>
      </c>
      <c r="E74" s="1" t="str">
        <f>"United States"</f>
        <v>United States</v>
      </c>
      <c r="F74" s="1" t="str">
        <f>"Ajax"</f>
        <v>Ajax</v>
      </c>
      <c r="G74" s="1" t="str">
        <f>"Tadehara"</f>
        <v>Tadehara</v>
      </c>
      <c r="H74" s="1" t="str">
        <f>"AutreFederation"</f>
        <v>AutreFederation</v>
      </c>
      <c r="I74" s="1" t="str">
        <f t="shared" si="7"/>
        <v>M</v>
      </c>
      <c r="J74" s="2">
        <v>1989</v>
      </c>
      <c r="K74" s="1" t="str">
        <f>"3D"</f>
        <v>3D</v>
      </c>
      <c r="L74" s="1" t="str">
        <f>"Senior"</f>
        <v>Senior</v>
      </c>
      <c r="M74" s="1" t="str">
        <f t="shared" si="8"/>
        <v>+100</v>
      </c>
      <c r="N74" s="1" t="str">
        <f>""</f>
        <v/>
      </c>
      <c r="O74" s="1">
        <v>1</v>
      </c>
      <c r="P74" s="1"/>
      <c r="Q74" t="s">
        <v>233</v>
      </c>
    </row>
    <row r="75" spans="1:17" x14ac:dyDescent="0.25">
      <c r="A75" t="str">
        <f>"2018-10-19 20:30:16"</f>
        <v>2018-10-19 20:30:16</v>
      </c>
      <c r="B75" s="1" t="str">
        <f>""</f>
        <v/>
      </c>
      <c r="C75" s="1" t="str">
        <f>"Club de judo de la vieille capitale"</f>
        <v>Club de judo de la vieille capitale</v>
      </c>
      <c r="D75" s="1" t="str">
        <f>"QC"</f>
        <v>QC</v>
      </c>
      <c r="E75" s="1" t="str">
        <f>"Quebec"</f>
        <v>Quebec</v>
      </c>
      <c r="F75" s="1" t="str">
        <f>"Coralie"</f>
        <v>Coralie</v>
      </c>
      <c r="G75" s="1" t="str">
        <f>"Godbout"</f>
        <v>Godbout</v>
      </c>
      <c r="H75" s="1" t="str">
        <f>"0155845"</f>
        <v>0155845</v>
      </c>
      <c r="I75" s="1" t="str">
        <f t="shared" ref="I75:I104" si="9">"F"</f>
        <v>F</v>
      </c>
      <c r="J75" s="2">
        <v>2001</v>
      </c>
      <c r="K75" s="1" t="str">
        <f>"1D"</f>
        <v>1D</v>
      </c>
      <c r="L75" s="1" t="s">
        <v>65</v>
      </c>
      <c r="M75" s="1" t="str">
        <f t="shared" ref="M75:M80" si="10">"+78"</f>
        <v>+78</v>
      </c>
      <c r="N75" s="1" t="str">
        <f>""</f>
        <v/>
      </c>
      <c r="O75" s="1">
        <v>2</v>
      </c>
      <c r="P75" s="1"/>
      <c r="Q75" t="s">
        <v>234</v>
      </c>
    </row>
    <row r="76" spans="1:17" x14ac:dyDescent="0.25">
      <c r="A76" t="str">
        <f>"2018-10-02 12:27:24"</f>
        <v>2018-10-02 12:27:24</v>
      </c>
      <c r="B76" s="1" t="str">
        <f>""</f>
        <v/>
      </c>
      <c r="C76" s="1" t="str">
        <f>"Aberdeen Judo Academy"</f>
        <v>Aberdeen Judo Academy</v>
      </c>
      <c r="D76" s="1" t="str">
        <f>"BC"</f>
        <v>BC</v>
      </c>
      <c r="E76" s="1" t="str">
        <f>"British Columbia"</f>
        <v>British Columbia</v>
      </c>
      <c r="F76" s="1" t="str">
        <f>"Megan"</f>
        <v>Megan</v>
      </c>
      <c r="G76" s="1" t="str">
        <f>"Hanks"</f>
        <v>Hanks</v>
      </c>
      <c r="H76" s="1" t="str">
        <f>"0157025"</f>
        <v>0157025</v>
      </c>
      <c r="I76" s="1" t="str">
        <f t="shared" si="9"/>
        <v>F</v>
      </c>
      <c r="J76" s="2">
        <v>1997</v>
      </c>
      <c r="K76" s="1" t="str">
        <f>"2D"</f>
        <v>2D</v>
      </c>
      <c r="L76" s="1" t="str">
        <f>"Senior"</f>
        <v>Senior</v>
      </c>
      <c r="M76" s="1" t="str">
        <f t="shared" si="10"/>
        <v>+78</v>
      </c>
      <c r="N76" s="1" t="str">
        <f>""</f>
        <v/>
      </c>
      <c r="O76" s="1">
        <v>1</v>
      </c>
      <c r="P76" s="1"/>
      <c r="Q76" t="s">
        <v>234</v>
      </c>
    </row>
    <row r="77" spans="1:17" x14ac:dyDescent="0.25">
      <c r="A77" t="str">
        <f>"2018-10-20 21:35:40"</f>
        <v>2018-10-20 21:35:40</v>
      </c>
      <c r="B77" s="1" t="str">
        <f>""</f>
        <v/>
      </c>
      <c r="C77" s="1" t="str">
        <f>"Centre Budo Kwai Quebec Inc"</f>
        <v>Centre Budo Kwai Quebec Inc</v>
      </c>
      <c r="D77" s="1" t="str">
        <f>"QC"</f>
        <v>QC</v>
      </c>
      <c r="E77" s="1" t="str">
        <f>"Québec Canada"</f>
        <v>Québec Canada</v>
      </c>
      <c r="F77" s="1" t="str">
        <f>"Marie-Soleil"</f>
        <v>Marie-Soleil</v>
      </c>
      <c r="G77" s="1" t="str">
        <f>"Lapointe"</f>
        <v>Lapointe</v>
      </c>
      <c r="H77" s="1" t="str">
        <f>"0012808"</f>
        <v>0012808</v>
      </c>
      <c r="I77" s="1" t="str">
        <f t="shared" si="9"/>
        <v>F</v>
      </c>
      <c r="J77" s="2">
        <v>1988</v>
      </c>
      <c r="K77" s="1" t="str">
        <f>"1D"</f>
        <v>1D</v>
      </c>
      <c r="L77" s="1" t="str">
        <f>"Senior"</f>
        <v>Senior</v>
      </c>
      <c r="M77" s="1" t="str">
        <f t="shared" si="10"/>
        <v>+78</v>
      </c>
      <c r="N77" s="1" t="str">
        <f>""</f>
        <v/>
      </c>
      <c r="O77" s="1">
        <v>1</v>
      </c>
      <c r="P77" s="1"/>
      <c r="Q77" t="s">
        <v>234</v>
      </c>
    </row>
    <row r="78" spans="1:17" x14ac:dyDescent="0.25">
      <c r="A78" t="str">
        <f>"2018-10-20 21:35:40"</f>
        <v>2018-10-20 21:35:40</v>
      </c>
      <c r="B78" s="1" t="str">
        <f>""</f>
        <v/>
      </c>
      <c r="C78" s="1" t="str">
        <f>"Kohbukan-Sisu Judo Club"</f>
        <v>Kohbukan-Sisu Judo Club</v>
      </c>
      <c r="D78" s="1" t="str">
        <f>"ON"</f>
        <v>ON</v>
      </c>
      <c r="E78" s="1" t="str">
        <f>"Ontario"</f>
        <v>Ontario</v>
      </c>
      <c r="F78" s="1" t="str">
        <f>"Amanda"</f>
        <v>Amanda</v>
      </c>
      <c r="G78" s="1" t="str">
        <f>"McAlpine"</f>
        <v>McAlpine</v>
      </c>
      <c r="H78" s="1" t="str">
        <f>"0208319"</f>
        <v>0208319</v>
      </c>
      <c r="I78" s="1" t="str">
        <f t="shared" si="9"/>
        <v>F</v>
      </c>
      <c r="J78" s="2">
        <v>1978</v>
      </c>
      <c r="K78" s="1" t="str">
        <f>"1k"</f>
        <v>1k</v>
      </c>
      <c r="L78" s="1" t="s">
        <v>65</v>
      </c>
      <c r="M78" s="1" t="str">
        <f t="shared" si="10"/>
        <v>+78</v>
      </c>
      <c r="N78" s="1" t="str">
        <f>"110kg"</f>
        <v>110kg</v>
      </c>
      <c r="O78" s="1">
        <v>3</v>
      </c>
      <c r="P78" s="1"/>
      <c r="Q78" t="s">
        <v>234</v>
      </c>
    </row>
    <row r="79" spans="1:17" x14ac:dyDescent="0.25">
      <c r="A79" t="str">
        <f>"2018-10-16 23:57:41"</f>
        <v>2018-10-16 23:57:41</v>
      </c>
      <c r="B79" s="1" t="str">
        <f>""</f>
        <v/>
      </c>
      <c r="C79" s="1" t="str">
        <f>"The Art Of Balance Dojo"</f>
        <v>The Art Of Balance Dojo</v>
      </c>
      <c r="D79" s="1" t="str">
        <f>"ON"</f>
        <v>ON</v>
      </c>
      <c r="E79" s="1" t="str">
        <f>"Ontario"</f>
        <v>Ontario</v>
      </c>
      <c r="F79" s="1" t="str">
        <f>"Josephine"</f>
        <v>Josephine</v>
      </c>
      <c r="G79" s="1" t="str">
        <f>"Morgenroth"</f>
        <v>Morgenroth</v>
      </c>
      <c r="H79" s="1" t="str">
        <f>"AutreFederation"</f>
        <v>AutreFederation</v>
      </c>
      <c r="I79" s="1" t="str">
        <f t="shared" si="9"/>
        <v>F</v>
      </c>
      <c r="J79" s="2">
        <v>1992</v>
      </c>
      <c r="K79" s="1" t="str">
        <f>"1k"</f>
        <v>1k</v>
      </c>
      <c r="L79" s="1" t="s">
        <v>65</v>
      </c>
      <c r="M79" s="1" t="str">
        <f t="shared" si="10"/>
        <v>+78</v>
      </c>
      <c r="N79" s="1" t="str">
        <f>""</f>
        <v/>
      </c>
      <c r="O79" s="1">
        <v>2</v>
      </c>
      <c r="P79" s="1"/>
      <c r="Q79" t="s">
        <v>234</v>
      </c>
    </row>
    <row r="80" spans="1:17" x14ac:dyDescent="0.25">
      <c r="A80" t="str">
        <f>"2018-10-16 23:57:41"</f>
        <v>2018-10-16 23:57:41</v>
      </c>
      <c r="B80" s="1" t="str">
        <f>"2018-10-04 14:22:24"</f>
        <v>2018-10-04 14:22:24</v>
      </c>
      <c r="C80" s="1" t="str">
        <f>"West Kildonan Judo Club"</f>
        <v>West Kildonan Judo Club</v>
      </c>
      <c r="D80" s="1" t="str">
        <f>"MB"</f>
        <v>MB</v>
      </c>
      <c r="E80" s="1" t="str">
        <f>"Manitoba"</f>
        <v>Manitoba</v>
      </c>
      <c r="F80" s="1" t="str">
        <f>"Samantha"</f>
        <v>Samantha</v>
      </c>
      <c r="G80" s="1" t="str">
        <f>"Ulrich"</f>
        <v>Ulrich</v>
      </c>
      <c r="H80" s="1" t="str">
        <f>"0201240"</f>
        <v>0201240</v>
      </c>
      <c r="I80" s="1" t="str">
        <f t="shared" si="9"/>
        <v>F</v>
      </c>
      <c r="J80" s="2">
        <v>2003</v>
      </c>
      <c r="K80" s="1" t="str">
        <f>"1k"</f>
        <v>1k</v>
      </c>
      <c r="L80" s="1" t="s">
        <v>65</v>
      </c>
      <c r="M80" s="1" t="str">
        <f t="shared" si="10"/>
        <v>+78</v>
      </c>
      <c r="N80" s="1" t="str">
        <f>""</f>
        <v/>
      </c>
      <c r="O80" s="1">
        <v>2</v>
      </c>
      <c r="P80" s="1"/>
      <c r="Q80" t="s">
        <v>234</v>
      </c>
    </row>
    <row r="81" spans="1:17" x14ac:dyDescent="0.25">
      <c r="A81" t="str">
        <f>"2018-10-13 13:02:44"</f>
        <v>2018-10-13 13:02:44</v>
      </c>
      <c r="B81" s="1" t="str">
        <f>""</f>
        <v/>
      </c>
      <c r="C81" s="1" t="str">
        <f>"Tech Judo"</f>
        <v>Tech Judo</v>
      </c>
      <c r="D81" s="1" t="s">
        <v>106</v>
      </c>
      <c r="E81" s="1" t="str">
        <f>"New Jersey"</f>
        <v>New Jersey</v>
      </c>
      <c r="F81" s="1" t="str">
        <f>"Catherine"</f>
        <v>Catherine</v>
      </c>
      <c r="G81" s="1" t="str">
        <f>"Arias"</f>
        <v>Arias</v>
      </c>
      <c r="H81" s="1" t="str">
        <f>"AutreFederation"</f>
        <v>AutreFederation</v>
      </c>
      <c r="I81" s="1" t="str">
        <f t="shared" si="9"/>
        <v>F</v>
      </c>
      <c r="J81" s="2">
        <v>1990</v>
      </c>
      <c r="K81" s="1" t="str">
        <f>"2D"</f>
        <v>2D</v>
      </c>
      <c r="L81" s="1" t="str">
        <f>"Senior"</f>
        <v>Senior</v>
      </c>
      <c r="M81" s="1" t="str">
        <f t="shared" ref="M81:M89" si="11">"-48"</f>
        <v>-48</v>
      </c>
      <c r="N81" s="1" t="str">
        <f>""</f>
        <v/>
      </c>
      <c r="O81" s="1">
        <v>1</v>
      </c>
      <c r="P81" s="1"/>
      <c r="Q81" t="s">
        <v>235</v>
      </c>
    </row>
    <row r="82" spans="1:17" x14ac:dyDescent="0.25">
      <c r="A82" t="str">
        <f>"2018-10-21 20:29:06"</f>
        <v>2018-10-21 20:29:06</v>
      </c>
      <c r="B82" s="1" t="str">
        <f>""</f>
        <v/>
      </c>
      <c r="C82" s="1" t="str">
        <f>"Kiseki Judo"</f>
        <v>Kiseki Judo</v>
      </c>
      <c r="D82" s="1" t="str">
        <f>"QC"</f>
        <v>QC</v>
      </c>
      <c r="E82" s="1" t="str">
        <f>"Quebec"</f>
        <v>Quebec</v>
      </c>
      <c r="F82" s="1" t="str">
        <f>"Nabila"</f>
        <v>Nabila</v>
      </c>
      <c r="G82" s="1" t="str">
        <f>"Berkat"</f>
        <v>Berkat</v>
      </c>
      <c r="H82" s="1" t="str">
        <f>"0410474"</f>
        <v>0410474</v>
      </c>
      <c r="I82" s="1" t="str">
        <f t="shared" si="9"/>
        <v>F</v>
      </c>
      <c r="J82" s="2">
        <v>1994</v>
      </c>
      <c r="K82" s="1" t="str">
        <f>"1D"</f>
        <v>1D</v>
      </c>
      <c r="L82" s="1" t="str">
        <f>"Senior"</f>
        <v>Senior</v>
      </c>
      <c r="M82" s="1" t="str">
        <f t="shared" si="11"/>
        <v>-48</v>
      </c>
      <c r="N82" s="1" t="str">
        <f>""</f>
        <v/>
      </c>
      <c r="O82" s="1">
        <v>1</v>
      </c>
      <c r="P82" s="1"/>
      <c r="Q82" t="s">
        <v>235</v>
      </c>
    </row>
    <row r="83" spans="1:17" x14ac:dyDescent="0.25">
      <c r="A83" t="str">
        <f>"2018-10-23 10:42:37"</f>
        <v>2018-10-23 10:42:37</v>
      </c>
      <c r="B83" s="1" t="str">
        <f>""</f>
        <v/>
      </c>
      <c r="C83" s="1" t="str">
        <f>"Hart Judo Academy"</f>
        <v>Hart Judo Academy</v>
      </c>
      <c r="D83" s="1" t="str">
        <f>"BC"</f>
        <v>BC</v>
      </c>
      <c r="E83" s="1" t="str">
        <f>"British Columbia"</f>
        <v>British Columbia</v>
      </c>
      <c r="F83" s="1" t="str">
        <f>"Brooke"</f>
        <v>Brooke</v>
      </c>
      <c r="G83" s="1" t="str">
        <f>"Corbett"</f>
        <v>Corbett</v>
      </c>
      <c r="H83" s="1" t="str">
        <f>"0200147"</f>
        <v>0200147</v>
      </c>
      <c r="I83" s="1" t="str">
        <f t="shared" si="9"/>
        <v>F</v>
      </c>
      <c r="J83" s="2">
        <v>2001</v>
      </c>
      <c r="K83" s="1" t="str">
        <f>"2k"</f>
        <v>2k</v>
      </c>
      <c r="L83" s="1" t="s">
        <v>65</v>
      </c>
      <c r="M83" s="1" t="str">
        <f t="shared" si="11"/>
        <v>-48</v>
      </c>
      <c r="N83" s="1" t="str">
        <f>""</f>
        <v/>
      </c>
      <c r="O83" s="1">
        <v>2</v>
      </c>
      <c r="P83" s="1"/>
      <c r="Q83" t="s">
        <v>235</v>
      </c>
    </row>
    <row r="84" spans="1:17" x14ac:dyDescent="0.25">
      <c r="A84" t="str">
        <f>"2018-10-12 11:20:01"</f>
        <v>2018-10-12 11:20:01</v>
      </c>
      <c r="B84" s="1" t="str">
        <f>""</f>
        <v/>
      </c>
      <c r="C84" s="1" t="str">
        <f>"Burnaby Judo Club"</f>
        <v>Burnaby Judo Club</v>
      </c>
      <c r="D84" s="1" t="str">
        <f>"BC"</f>
        <v>BC</v>
      </c>
      <c r="E84" s="1" t="str">
        <f>"British Columbia"</f>
        <v>British Columbia</v>
      </c>
      <c r="F84" s="1" t="str">
        <f>"Klavdia"</f>
        <v>Klavdia</v>
      </c>
      <c r="G84" s="1" t="str">
        <f>"Danilkov"</f>
        <v>Danilkov</v>
      </c>
      <c r="H84" s="1" t="str">
        <f>"0193694"</f>
        <v>0193694</v>
      </c>
      <c r="I84" s="1" t="str">
        <f t="shared" si="9"/>
        <v>F</v>
      </c>
      <c r="J84" s="2">
        <v>2003</v>
      </c>
      <c r="K84" s="1" t="str">
        <f>"1k"</f>
        <v>1k</v>
      </c>
      <c r="L84" s="1" t="s">
        <v>65</v>
      </c>
      <c r="M84" s="1" t="str">
        <f t="shared" si="11"/>
        <v>-48</v>
      </c>
      <c r="N84" s="1" t="str">
        <f>""</f>
        <v/>
      </c>
      <c r="O84" s="1">
        <v>2</v>
      </c>
      <c r="P84" s="1"/>
      <c r="Q84" t="s">
        <v>235</v>
      </c>
    </row>
    <row r="85" spans="1:17" x14ac:dyDescent="0.25">
      <c r="B85" s="9" t="str">
        <f>""</f>
        <v/>
      </c>
      <c r="C85" s="9" t="str">
        <f>"USA Judo"</f>
        <v>USA Judo</v>
      </c>
      <c r="D85" s="9" t="s">
        <v>106</v>
      </c>
      <c r="E85" s="9" t="s">
        <v>106</v>
      </c>
      <c r="F85" s="9" t="str">
        <f>"Noran"</f>
        <v>Noran</v>
      </c>
      <c r="G85" s="9" t="str">
        <f>"Elmahroukey"</f>
        <v>Elmahroukey</v>
      </c>
      <c r="H85" s="9" t="str">
        <f>"AutreFederation"</f>
        <v>AutreFederation</v>
      </c>
      <c r="I85" s="9" t="str">
        <f t="shared" si="9"/>
        <v>F</v>
      </c>
      <c r="J85" s="9">
        <v>2002</v>
      </c>
      <c r="K85" s="9" t="str">
        <f>"1D"</f>
        <v>1D</v>
      </c>
      <c r="L85" s="9" t="s">
        <v>65</v>
      </c>
      <c r="M85" s="9" t="str">
        <f t="shared" si="11"/>
        <v>-48</v>
      </c>
      <c r="N85" s="9"/>
      <c r="O85" s="9">
        <v>2</v>
      </c>
      <c r="P85" s="9"/>
      <c r="Q85" t="s">
        <v>235</v>
      </c>
    </row>
    <row r="86" spans="1:17" x14ac:dyDescent="0.25">
      <c r="B86" s="1" t="str">
        <f>""</f>
        <v/>
      </c>
      <c r="C86" s="1" t="str">
        <f>"Tritton Judo"</f>
        <v>Tritton Judo</v>
      </c>
      <c r="D86" s="1" t="str">
        <f>"QC"</f>
        <v>QC</v>
      </c>
      <c r="E86" s="1" t="str">
        <f>"Quebec"</f>
        <v>Quebec</v>
      </c>
      <c r="F86" s="1" t="str">
        <f>"Oumaima"</f>
        <v>Oumaima</v>
      </c>
      <c r="G86" s="1" t="str">
        <f>"Gadi"</f>
        <v>Gadi</v>
      </c>
      <c r="H86" s="1" t="str">
        <f>"0000000"</f>
        <v>0000000</v>
      </c>
      <c r="I86" s="1" t="str">
        <f t="shared" si="9"/>
        <v>F</v>
      </c>
      <c r="J86" s="1">
        <v>1996</v>
      </c>
      <c r="K86" s="1" t="s">
        <v>21</v>
      </c>
      <c r="L86" s="1" t="str">
        <f>"Senior"</f>
        <v>Senior</v>
      </c>
      <c r="M86" s="1" t="str">
        <f t="shared" si="11"/>
        <v>-48</v>
      </c>
      <c r="N86" s="1" t="str">
        <f>""</f>
        <v/>
      </c>
      <c r="O86" s="1"/>
      <c r="P86" s="1"/>
      <c r="Q86" t="s">
        <v>235</v>
      </c>
    </row>
    <row r="87" spans="1:17" x14ac:dyDescent="0.25">
      <c r="A87" t="str">
        <f>"2018-09-29 17:42:08"</f>
        <v>2018-09-29 17:42:08</v>
      </c>
      <c r="B87" s="1" t="str">
        <f>""</f>
        <v/>
      </c>
      <c r="C87" s="1" t="str">
        <f>"Prince George Judo Club"</f>
        <v>Prince George Judo Club</v>
      </c>
      <c r="D87" s="1" t="str">
        <f>"BC"</f>
        <v>BC</v>
      </c>
      <c r="E87" s="1" t="str">
        <f>"British Columbia"</f>
        <v>British Columbia</v>
      </c>
      <c r="F87" s="1" t="str">
        <f>"Tami"</f>
        <v>Tami</v>
      </c>
      <c r="G87" s="1" t="str">
        <f>"Goto"</f>
        <v>Goto</v>
      </c>
      <c r="H87" s="1" t="str">
        <f>"0153967"</f>
        <v>0153967</v>
      </c>
      <c r="I87" s="1" t="str">
        <f t="shared" si="9"/>
        <v>F</v>
      </c>
      <c r="J87" s="2">
        <v>2002</v>
      </c>
      <c r="K87" s="1" t="str">
        <f>"1D"</f>
        <v>1D</v>
      </c>
      <c r="L87" s="1" t="s">
        <v>65</v>
      </c>
      <c r="M87" s="1" t="str">
        <f t="shared" si="11"/>
        <v>-48</v>
      </c>
      <c r="N87" s="1" t="str">
        <f>""</f>
        <v/>
      </c>
      <c r="O87" s="1">
        <v>2</v>
      </c>
      <c r="P87" s="1"/>
      <c r="Q87" t="s">
        <v>235</v>
      </c>
    </row>
    <row r="88" spans="1:17" x14ac:dyDescent="0.25">
      <c r="A88" t="str">
        <f>"2018-10-13 13:02:44"</f>
        <v>2018-10-13 13:02:44</v>
      </c>
      <c r="B88" s="1" t="str">
        <f>""</f>
        <v/>
      </c>
      <c r="C88" s="1" t="str">
        <f>"Hart Judo Academy"</f>
        <v>Hart Judo Academy</v>
      </c>
      <c r="D88" s="1" t="str">
        <f>"BC"</f>
        <v>BC</v>
      </c>
      <c r="E88" s="1" t="str">
        <f>"British Columbia"</f>
        <v>British Columbia</v>
      </c>
      <c r="F88" s="1" t="str">
        <f>"Kimiko"</f>
        <v>Kimiko</v>
      </c>
      <c r="G88" s="1" t="str">
        <f>"Kamstra"</f>
        <v>Kamstra</v>
      </c>
      <c r="H88" s="1" t="str">
        <f>"0163541"</f>
        <v>0163541</v>
      </c>
      <c r="I88" s="1" t="str">
        <f t="shared" si="9"/>
        <v>F</v>
      </c>
      <c r="J88" s="2">
        <v>2001</v>
      </c>
      <c r="K88" s="1" t="str">
        <f>"1k"</f>
        <v>1k</v>
      </c>
      <c r="L88" s="1" t="s">
        <v>65</v>
      </c>
      <c r="M88" s="1" t="str">
        <f t="shared" si="11"/>
        <v>-48</v>
      </c>
      <c r="N88" s="1" t="str">
        <f>""</f>
        <v/>
      </c>
      <c r="O88" s="1">
        <v>2</v>
      </c>
      <c r="P88" s="1"/>
      <c r="Q88" t="s">
        <v>235</v>
      </c>
    </row>
    <row r="89" spans="1:17" x14ac:dyDescent="0.25">
      <c r="A89" t="str">
        <f>"2018-10-12 11:20:01"</f>
        <v>2018-10-12 11:20:01</v>
      </c>
      <c r="B89" s="1" t="str">
        <f>""</f>
        <v/>
      </c>
      <c r="C89" s="1" t="str">
        <f>"Burnaby Judo Club"</f>
        <v>Burnaby Judo Club</v>
      </c>
      <c r="D89" s="1" t="str">
        <f>"BC"</f>
        <v>BC</v>
      </c>
      <c r="E89" s="1" t="str">
        <f>"British Columbia"</f>
        <v>British Columbia</v>
      </c>
      <c r="F89" s="1" t="str">
        <f>"Rakiia"</f>
        <v>Rakiia</v>
      </c>
      <c r="G89" s="1" t="str">
        <f>"Lolieva"</f>
        <v>Lolieva</v>
      </c>
      <c r="H89" s="1" t="str">
        <f>"0222039"</f>
        <v>0222039</v>
      </c>
      <c r="I89" s="1" t="str">
        <f t="shared" si="9"/>
        <v>F</v>
      </c>
      <c r="J89" s="2">
        <v>2003</v>
      </c>
      <c r="K89" s="1" t="str">
        <f>"2k"</f>
        <v>2k</v>
      </c>
      <c r="L89" s="1" t="s">
        <v>65</v>
      </c>
      <c r="M89" s="1" t="str">
        <f t="shared" si="11"/>
        <v>-48</v>
      </c>
      <c r="N89" s="1" t="str">
        <f>""</f>
        <v/>
      </c>
      <c r="O89" s="1">
        <v>2</v>
      </c>
      <c r="P89" s="1"/>
      <c r="Q89" t="s">
        <v>235</v>
      </c>
    </row>
    <row r="90" spans="1:17" x14ac:dyDescent="0.25">
      <c r="B90" s="1" t="str">
        <f>"2018-10-22 11:34:24"</f>
        <v>2018-10-22 11:34:24</v>
      </c>
      <c r="C90" s="1" t="str">
        <f>"Bushidokan"</f>
        <v>Bushidokan</v>
      </c>
      <c r="D90" s="1" t="str">
        <f>"QC"</f>
        <v>QC</v>
      </c>
      <c r="E90" s="1" t="str">
        <f>"Quebec"</f>
        <v>Quebec</v>
      </c>
      <c r="F90" s="1" t="str">
        <f>"Mélodie"</f>
        <v>Mélodie</v>
      </c>
      <c r="G90" s="1" t="str">
        <f>"Mailhot-Senez"</f>
        <v>Mailhot-Senez</v>
      </c>
      <c r="H90" s="1" t="str">
        <f>"0146269"</f>
        <v>0146269</v>
      </c>
      <c r="I90" s="1" t="str">
        <f t="shared" si="9"/>
        <v>F</v>
      </c>
      <c r="J90" s="2">
        <v>2001</v>
      </c>
      <c r="K90" s="1" t="str">
        <f>"1k"</f>
        <v>1k</v>
      </c>
      <c r="L90" s="1" t="s">
        <v>65</v>
      </c>
      <c r="M90" s="8">
        <v>-48</v>
      </c>
      <c r="N90" s="1" t="str">
        <f>""</f>
        <v/>
      </c>
      <c r="O90" s="1">
        <v>2</v>
      </c>
      <c r="P90" s="10"/>
      <c r="Q90" t="s">
        <v>235</v>
      </c>
    </row>
    <row r="91" spans="1:17" x14ac:dyDescent="0.25">
      <c r="A91" t="str">
        <f>"2018-10-16 20:36:33"</f>
        <v>2018-10-16 20:36:33</v>
      </c>
      <c r="B91" s="1" t="str">
        <f>""</f>
        <v/>
      </c>
      <c r="C91" s="1" t="str">
        <f>"Club de Judo d'Asbestos-Danville"</f>
        <v>Club de Judo d'Asbestos-Danville</v>
      </c>
      <c r="D91" s="1" t="str">
        <f>"QC"</f>
        <v>QC</v>
      </c>
      <c r="E91" s="1" t="str">
        <f>"Quebec"</f>
        <v>Quebec</v>
      </c>
      <c r="F91" s="1" t="str">
        <f>"Léa"</f>
        <v>Léa</v>
      </c>
      <c r="G91" s="1" t="str">
        <f>"Roy"</f>
        <v>Roy</v>
      </c>
      <c r="H91" s="1" t="str">
        <f>"0143531"</f>
        <v>0143531</v>
      </c>
      <c r="I91" s="1" t="str">
        <f t="shared" si="9"/>
        <v>F</v>
      </c>
      <c r="J91" s="2">
        <v>2000</v>
      </c>
      <c r="K91" s="1" t="str">
        <f>"1D"</f>
        <v>1D</v>
      </c>
      <c r="L91" s="1" t="s">
        <v>65</v>
      </c>
      <c r="M91" s="1" t="str">
        <f>"-48"</f>
        <v>-48</v>
      </c>
      <c r="N91" s="1" t="str">
        <f>""</f>
        <v/>
      </c>
      <c r="O91" s="1">
        <v>2</v>
      </c>
      <c r="P91" s="1"/>
      <c r="Q91" t="s">
        <v>235</v>
      </c>
    </row>
    <row r="92" spans="1:17" x14ac:dyDescent="0.25">
      <c r="A92" t="str">
        <f>"2018-10-15 16:23:49"</f>
        <v>2018-10-15 16:23:49</v>
      </c>
      <c r="B92" s="1" t="str">
        <f>""</f>
        <v/>
      </c>
      <c r="C92" s="1" t="str">
        <f>"Ishi Yama Institute of Judo"</f>
        <v>Ishi Yama Institute of Judo</v>
      </c>
      <c r="D92" s="1" t="str">
        <f>"AB"</f>
        <v>AB</v>
      </c>
      <c r="E92" s="1" t="str">
        <f>"Alberta"</f>
        <v>Alberta</v>
      </c>
      <c r="F92" s="1" t="str">
        <f>"Emilija Ema"</f>
        <v>Emilija Ema</v>
      </c>
      <c r="G92" s="1" t="str">
        <f>"Tesanovic"</f>
        <v>Tesanovic</v>
      </c>
      <c r="H92" s="1" t="str">
        <f>"0166089"</f>
        <v>0166089</v>
      </c>
      <c r="I92" s="1" t="str">
        <f t="shared" si="9"/>
        <v>F</v>
      </c>
      <c r="J92" s="2">
        <v>2002</v>
      </c>
      <c r="K92" s="1" t="str">
        <f>"1k"</f>
        <v>1k</v>
      </c>
      <c r="L92" s="1" t="s">
        <v>65</v>
      </c>
      <c r="M92" s="1" t="str">
        <f>"-48"</f>
        <v>-48</v>
      </c>
      <c r="N92" s="1" t="str">
        <f>""</f>
        <v/>
      </c>
      <c r="O92" s="1">
        <v>2</v>
      </c>
      <c r="P92" s="1"/>
      <c r="Q92" t="s">
        <v>235</v>
      </c>
    </row>
    <row r="93" spans="1:17" x14ac:dyDescent="0.25">
      <c r="A93" t="str">
        <f>"2018-10-12 14:05:03"</f>
        <v>2018-10-12 14:05:03</v>
      </c>
      <c r="B93" s="1" t="str">
        <f>""</f>
        <v/>
      </c>
      <c r="C93" s="1" t="str">
        <f>"Club de judo Shidokan inc."</f>
        <v>Club de judo Shidokan inc.</v>
      </c>
      <c r="D93" s="1" t="str">
        <f>"QC"</f>
        <v>QC</v>
      </c>
      <c r="E93" s="1" t="str">
        <f>"Quebec"</f>
        <v>Quebec</v>
      </c>
      <c r="F93" s="1" t="str">
        <f>"Marie"</f>
        <v>Marie</v>
      </c>
      <c r="G93" s="1" t="str">
        <f>"Besson"</f>
        <v>Besson</v>
      </c>
      <c r="H93" s="1" t="str">
        <f>"AutreFederation"</f>
        <v>AutreFederation</v>
      </c>
      <c r="I93" s="1" t="str">
        <f t="shared" si="9"/>
        <v>F</v>
      </c>
      <c r="J93" s="2">
        <v>1998</v>
      </c>
      <c r="K93" s="1" t="str">
        <f>"2D"</f>
        <v>2D</v>
      </c>
      <c r="L93" s="1" t="str">
        <f>"Senior"</f>
        <v>Senior</v>
      </c>
      <c r="M93" s="1" t="str">
        <f t="shared" ref="M93:M104" si="12">"-52"</f>
        <v>-52</v>
      </c>
      <c r="N93" s="1" t="str">
        <f>""</f>
        <v/>
      </c>
      <c r="O93" s="1">
        <v>1</v>
      </c>
      <c r="P93" s="1"/>
      <c r="Q93" t="s">
        <v>236</v>
      </c>
    </row>
    <row r="94" spans="1:17" x14ac:dyDescent="0.25">
      <c r="A94" t="str">
        <f>"2018-09-29 17:42:08"</f>
        <v>2018-09-29 17:42:08</v>
      </c>
      <c r="B94" s="1" t="str">
        <f>""</f>
        <v/>
      </c>
      <c r="C94" s="1" t="str">
        <f>"Hiro's Judo Club"</f>
        <v>Hiro's Judo Club</v>
      </c>
      <c r="D94" s="1" t="str">
        <f>"AB"</f>
        <v>AB</v>
      </c>
      <c r="E94" s="1" t="str">
        <f>"Alberta"</f>
        <v>Alberta</v>
      </c>
      <c r="F94" s="1" t="str">
        <f>"Despina"</f>
        <v>Despina</v>
      </c>
      <c r="G94" s="1" t="str">
        <f>"Christou"</f>
        <v>Christou</v>
      </c>
      <c r="H94" s="1" t="str">
        <f>"0150583"</f>
        <v>0150583</v>
      </c>
      <c r="I94" s="1" t="str">
        <f t="shared" si="9"/>
        <v>F</v>
      </c>
      <c r="J94" s="2">
        <v>2001</v>
      </c>
      <c r="K94" s="1" t="str">
        <f>"1k"</f>
        <v>1k</v>
      </c>
      <c r="L94" s="1" t="s">
        <v>65</v>
      </c>
      <c r="M94" s="1" t="str">
        <f t="shared" si="12"/>
        <v>-52</v>
      </c>
      <c r="N94" s="1" t="str">
        <f>""</f>
        <v/>
      </c>
      <c r="O94" s="1">
        <v>2</v>
      </c>
      <c r="P94" s="1"/>
      <c r="Q94" t="s">
        <v>236</v>
      </c>
    </row>
    <row r="95" spans="1:17" x14ac:dyDescent="0.25">
      <c r="A95" t="str">
        <f>"2018-10-08 23:31:40"</f>
        <v>2018-10-08 23:31:40</v>
      </c>
      <c r="B95" s="1" t="str">
        <f>""</f>
        <v/>
      </c>
      <c r="C95" s="1" t="str">
        <f>"Nanaimo Judo Club"</f>
        <v>Nanaimo Judo Club</v>
      </c>
      <c r="D95" s="1" t="str">
        <f>"BC"</f>
        <v>BC</v>
      </c>
      <c r="E95" s="1" t="str">
        <f>"British Columbia"</f>
        <v>British Columbia</v>
      </c>
      <c r="F95" s="1" t="str">
        <f>"Isabella"</f>
        <v>Isabella</v>
      </c>
      <c r="G95" s="1" t="str">
        <f>"Greene"</f>
        <v>Greene</v>
      </c>
      <c r="H95" s="1" t="str">
        <f>"0206223"</f>
        <v>0206223</v>
      </c>
      <c r="I95" s="1" t="str">
        <f t="shared" si="9"/>
        <v>F</v>
      </c>
      <c r="J95" s="2">
        <v>2003</v>
      </c>
      <c r="K95" s="1" t="str">
        <f>"2k"</f>
        <v>2k</v>
      </c>
      <c r="L95" s="1" t="s">
        <v>65</v>
      </c>
      <c r="M95" s="1" t="str">
        <f t="shared" si="12"/>
        <v>-52</v>
      </c>
      <c r="N95" s="1" t="str">
        <f>""</f>
        <v/>
      </c>
      <c r="O95" s="1">
        <v>2</v>
      </c>
      <c r="P95" s="1"/>
      <c r="Q95" t="s">
        <v>236</v>
      </c>
    </row>
    <row r="96" spans="1:17" x14ac:dyDescent="0.25">
      <c r="A96" t="str">
        <f>"2018-09-25 21:30:13"</f>
        <v>2018-09-25 21:30:13</v>
      </c>
      <c r="B96" s="1" t="str">
        <f>""</f>
        <v/>
      </c>
      <c r="C96" s="1" t="str">
        <f>"Hoku Sei Kan Judo Club"</f>
        <v>Hoku Sei Kan Judo Club</v>
      </c>
      <c r="D96" s="1" t="str">
        <f>"AB"</f>
        <v>AB</v>
      </c>
      <c r="E96" s="1" t="str">
        <f>"Alberta"</f>
        <v>Alberta</v>
      </c>
      <c r="F96" s="1" t="str">
        <f>"Michelle"</f>
        <v>Michelle</v>
      </c>
      <c r="G96" s="1" t="str">
        <f>"Grisales"</f>
        <v>Grisales</v>
      </c>
      <c r="H96" s="1" t="str">
        <f>"0186030"</f>
        <v>0186030</v>
      </c>
      <c r="I96" s="1" t="str">
        <f t="shared" si="9"/>
        <v>F</v>
      </c>
      <c r="J96" s="2">
        <v>2003</v>
      </c>
      <c r="K96" s="1" t="str">
        <f>"2k"</f>
        <v>2k</v>
      </c>
      <c r="L96" s="1" t="s">
        <v>65</v>
      </c>
      <c r="M96" s="1" t="str">
        <f t="shared" si="12"/>
        <v>-52</v>
      </c>
      <c r="N96" s="1" t="str">
        <f>""</f>
        <v/>
      </c>
      <c r="O96" s="1">
        <v>2</v>
      </c>
      <c r="P96" s="1"/>
      <c r="Q96" t="s">
        <v>236</v>
      </c>
    </row>
    <row r="97" spans="1:17" x14ac:dyDescent="0.25">
      <c r="A97" t="str">
        <f>"2018-10-19 03:05:53"</f>
        <v>2018-10-19 03:05:53</v>
      </c>
      <c r="B97" s="1" t="str">
        <f>""</f>
        <v/>
      </c>
      <c r="C97" s="1" t="str">
        <f>"Abbotsford Judo Club"</f>
        <v>Abbotsford Judo Club</v>
      </c>
      <c r="D97" s="1" t="str">
        <f>"BC"</f>
        <v>BC</v>
      </c>
      <c r="E97" s="1" t="str">
        <f>"British Columbia"</f>
        <v>British Columbia</v>
      </c>
      <c r="F97" s="1" t="str">
        <f>"Launa"</f>
        <v>Launa</v>
      </c>
      <c r="G97" s="1" t="str">
        <f>"Hinton"</f>
        <v>Hinton</v>
      </c>
      <c r="H97" s="1" t="str">
        <f>"0199104"</f>
        <v>0199104</v>
      </c>
      <c r="I97" s="1" t="str">
        <f t="shared" si="9"/>
        <v>F</v>
      </c>
      <c r="J97" s="2">
        <v>2000</v>
      </c>
      <c r="K97" s="1" t="str">
        <f>"1D"</f>
        <v>1D</v>
      </c>
      <c r="L97" s="1" t="s">
        <v>65</v>
      </c>
      <c r="M97" s="1" t="str">
        <f t="shared" si="12"/>
        <v>-52</v>
      </c>
      <c r="N97" s="1" t="str">
        <f>""</f>
        <v/>
      </c>
      <c r="O97" s="1">
        <v>2</v>
      </c>
      <c r="P97" s="1"/>
      <c r="Q97" t="s">
        <v>236</v>
      </c>
    </row>
    <row r="98" spans="1:17" x14ac:dyDescent="0.25">
      <c r="A98" t="str">
        <f>"2018-10-12 14:05:03"</f>
        <v>2018-10-12 14:05:03</v>
      </c>
      <c r="B98" s="1" t="str">
        <f>""</f>
        <v/>
      </c>
      <c r="C98" s="1" t="str">
        <f>"Keisatsu Judo Winnipeg"</f>
        <v>Keisatsu Judo Winnipeg</v>
      </c>
      <c r="D98" s="1" t="str">
        <f>"MB"</f>
        <v>MB</v>
      </c>
      <c r="E98" s="1" t="str">
        <f>"Manitoba"</f>
        <v>Manitoba</v>
      </c>
      <c r="F98" s="1" t="str">
        <f>"Lorena"</f>
        <v>Lorena</v>
      </c>
      <c r="G98" s="1" t="str">
        <f>"Kaegi"</f>
        <v>Kaegi</v>
      </c>
      <c r="H98" s="1" t="str">
        <f>"0140746"</f>
        <v>0140746</v>
      </c>
      <c r="I98" s="1" t="str">
        <f t="shared" si="9"/>
        <v>F</v>
      </c>
      <c r="J98" s="2">
        <v>1993</v>
      </c>
      <c r="K98" s="1" t="str">
        <f>"2D"</f>
        <v>2D</v>
      </c>
      <c r="L98" s="1" t="str">
        <f>"Senior"</f>
        <v>Senior</v>
      </c>
      <c r="M98" s="1" t="str">
        <f t="shared" si="12"/>
        <v>-52</v>
      </c>
      <c r="N98" s="1" t="str">
        <f>""</f>
        <v/>
      </c>
      <c r="O98" s="1">
        <v>1</v>
      </c>
      <c r="P98" s="1"/>
      <c r="Q98" t="s">
        <v>236</v>
      </c>
    </row>
    <row r="99" spans="1:17" x14ac:dyDescent="0.25">
      <c r="A99" t="str">
        <f>"2018-10-16 20:36:33"</f>
        <v>2018-10-16 20:36:33</v>
      </c>
      <c r="B99" s="1" t="str">
        <f>""</f>
        <v/>
      </c>
      <c r="C99" s="1" t="str">
        <f>"Lethbridge Kyodokan Judo Club"</f>
        <v>Lethbridge Kyodokan Judo Club</v>
      </c>
      <c r="D99" s="1" t="str">
        <f>"AB"</f>
        <v>AB</v>
      </c>
      <c r="E99" s="1" t="str">
        <f>"Alberta"</f>
        <v>Alberta</v>
      </c>
      <c r="F99" s="1" t="str">
        <f>"Taeya"</f>
        <v>Taeya</v>
      </c>
      <c r="G99" s="1" t="str">
        <f>"Koliaska"</f>
        <v>Koliaska</v>
      </c>
      <c r="H99" s="1" t="str">
        <f>"0156660"</f>
        <v>0156660</v>
      </c>
      <c r="I99" s="1" t="str">
        <f t="shared" si="9"/>
        <v>F</v>
      </c>
      <c r="J99" s="2">
        <v>1999</v>
      </c>
      <c r="K99" s="1" t="str">
        <f>"1D"</f>
        <v>1D</v>
      </c>
      <c r="L99" s="1" t="s">
        <v>65</v>
      </c>
      <c r="M99" s="1" t="str">
        <f t="shared" si="12"/>
        <v>-52</v>
      </c>
      <c r="N99" s="1" t="str">
        <f>""</f>
        <v/>
      </c>
      <c r="O99" s="1">
        <v>2</v>
      </c>
      <c r="P99" s="1"/>
      <c r="Q99" t="s">
        <v>236</v>
      </c>
    </row>
    <row r="100" spans="1:17" x14ac:dyDescent="0.25">
      <c r="A100" t="str">
        <f>"2018-10-18 11:13:07"</f>
        <v>2018-10-18 11:13:07</v>
      </c>
      <c r="B100" s="1" t="str">
        <f>""</f>
        <v/>
      </c>
      <c r="C100" s="1" t="str">
        <f>"Club de judo Métropolitain inc."</f>
        <v>Club de judo Métropolitain inc.</v>
      </c>
      <c r="D100" s="1" t="str">
        <f>"QC"</f>
        <v>QC</v>
      </c>
      <c r="E100" s="1" t="str">
        <f>"Quebec"</f>
        <v>Quebec</v>
      </c>
      <c r="F100" s="1" t="str">
        <f>"Sarah"</f>
        <v>Sarah</v>
      </c>
      <c r="G100" s="1" t="str">
        <f>"Maloum"</f>
        <v>Maloum</v>
      </c>
      <c r="H100" s="1" t="str">
        <f>"0154954"</f>
        <v>0154954</v>
      </c>
      <c r="I100" s="1" t="str">
        <f t="shared" si="9"/>
        <v>F</v>
      </c>
      <c r="J100" s="2">
        <v>2001</v>
      </c>
      <c r="K100" s="1" t="str">
        <f>"1D"</f>
        <v>1D</v>
      </c>
      <c r="L100" s="1" t="s">
        <v>65</v>
      </c>
      <c r="M100" s="1" t="str">
        <f t="shared" si="12"/>
        <v>-52</v>
      </c>
      <c r="N100" s="1" t="str">
        <f>"-52kg"</f>
        <v>-52kg</v>
      </c>
      <c r="O100" s="1">
        <v>2</v>
      </c>
      <c r="P100" s="1"/>
      <c r="Q100" t="s">
        <v>236</v>
      </c>
    </row>
    <row r="101" spans="1:17" x14ac:dyDescent="0.25">
      <c r="A101" t="str">
        <f>"2018-10-13 22:40:05"</f>
        <v>2018-10-13 22:40:05</v>
      </c>
      <c r="B101" s="1" t="str">
        <f>""</f>
        <v/>
      </c>
      <c r="C101" s="1" t="str">
        <f>"Hiro's Judo Club"</f>
        <v>Hiro's Judo Club</v>
      </c>
      <c r="D101" s="1" t="str">
        <f>"AB"</f>
        <v>AB</v>
      </c>
      <c r="E101" s="1" t="str">
        <f>"Quebec"</f>
        <v>Quebec</v>
      </c>
      <c r="F101" s="1" t="str">
        <f>"Erin"</f>
        <v>Erin</v>
      </c>
      <c r="G101" s="1" t="str">
        <f>"Morgan"</f>
        <v>Morgan</v>
      </c>
      <c r="H101" s="1" t="str">
        <f>"0132733"</f>
        <v>0132733</v>
      </c>
      <c r="I101" s="1" t="str">
        <f t="shared" si="9"/>
        <v>F</v>
      </c>
      <c r="J101" s="2">
        <v>1993</v>
      </c>
      <c r="K101" s="1" t="str">
        <f>"2D"</f>
        <v>2D</v>
      </c>
      <c r="L101" s="1" t="str">
        <f>"Senior"</f>
        <v>Senior</v>
      </c>
      <c r="M101" s="1" t="str">
        <f t="shared" si="12"/>
        <v>-52</v>
      </c>
      <c r="N101" s="1" t="str">
        <f>""</f>
        <v/>
      </c>
      <c r="O101" s="1">
        <v>1</v>
      </c>
      <c r="P101" s="1"/>
      <c r="Q101" t="s">
        <v>236</v>
      </c>
    </row>
    <row r="102" spans="1:17" x14ac:dyDescent="0.25">
      <c r="A102" t="str">
        <f>"2018-10-21 01:07:18"</f>
        <v>2018-10-21 01:07:18</v>
      </c>
      <c r="B102" s="1" t="str">
        <f>"2018-10-23 10:43:54"</f>
        <v>2018-10-23 10:43:54</v>
      </c>
      <c r="C102" s="1" t="str">
        <f>"Lethbridge Kyodokan Judo Club"</f>
        <v>Lethbridge Kyodokan Judo Club</v>
      </c>
      <c r="D102" s="1" t="str">
        <f>"AB"</f>
        <v>AB</v>
      </c>
      <c r="E102" s="1" t="str">
        <f>"Alberta"</f>
        <v>Alberta</v>
      </c>
      <c r="F102" s="1" t="str">
        <f>"Virginia"</f>
        <v>Virginia</v>
      </c>
      <c r="G102" s="1" t="str">
        <f>"Nemeth"</f>
        <v>Nemeth</v>
      </c>
      <c r="H102" s="1" t="str">
        <f>"0135279"</f>
        <v>0135279</v>
      </c>
      <c r="I102" s="1" t="str">
        <f t="shared" si="9"/>
        <v>F</v>
      </c>
      <c r="J102" s="2">
        <v>1999</v>
      </c>
      <c r="K102" s="1" t="str">
        <f>"1D"</f>
        <v>1D</v>
      </c>
      <c r="L102" s="1" t="str">
        <f>"Senior"</f>
        <v>Senior</v>
      </c>
      <c r="M102" s="1" t="str">
        <f t="shared" si="12"/>
        <v>-52</v>
      </c>
      <c r="N102" s="1" t="str">
        <f>""</f>
        <v/>
      </c>
      <c r="O102" s="1">
        <v>1</v>
      </c>
      <c r="P102" s="1"/>
      <c r="Q102" t="s">
        <v>236</v>
      </c>
    </row>
    <row r="103" spans="1:17" x14ac:dyDescent="0.25">
      <c r="A103" t="str">
        <f>"2018-10-17 22:05:02"</f>
        <v>2018-10-17 22:05:02</v>
      </c>
      <c r="B103" s="1" t="str">
        <f>""</f>
        <v/>
      </c>
      <c r="C103" s="1" t="str">
        <f>"Nakamura Judo Club"</f>
        <v>Nakamura Judo Club</v>
      </c>
      <c r="D103" s="1" t="str">
        <f>"MB"</f>
        <v>MB</v>
      </c>
      <c r="E103" s="1" t="str">
        <f>"Manitoba"</f>
        <v>Manitoba</v>
      </c>
      <c r="F103" s="1" t="str">
        <f>"Jennifer"</f>
        <v>Jennifer</v>
      </c>
      <c r="G103" s="1" t="str">
        <f>"Nguyen"</f>
        <v>Nguyen</v>
      </c>
      <c r="H103" s="1" t="str">
        <f>"0147153"</f>
        <v>0147153</v>
      </c>
      <c r="I103" s="1" t="str">
        <f t="shared" si="9"/>
        <v>F</v>
      </c>
      <c r="J103" s="2">
        <v>1987</v>
      </c>
      <c r="K103" s="1" t="str">
        <f>"2D"</f>
        <v>2D</v>
      </c>
      <c r="L103" s="1" t="s">
        <v>65</v>
      </c>
      <c r="M103" s="1" t="str">
        <f t="shared" si="12"/>
        <v>-52</v>
      </c>
      <c r="N103" s="1" t="str">
        <f>""</f>
        <v/>
      </c>
      <c r="O103" s="1">
        <v>2</v>
      </c>
      <c r="P103" s="1"/>
      <c r="Q103" t="s">
        <v>236</v>
      </c>
    </row>
    <row r="104" spans="1:17" x14ac:dyDescent="0.25">
      <c r="A104" t="str">
        <f>"2018-10-17 22:05:02"</f>
        <v>2018-10-17 22:05:02</v>
      </c>
      <c r="B104" s="1" t="str">
        <f>""</f>
        <v/>
      </c>
      <c r="C104" s="1" t="str">
        <f>"Sawtelle Judo Dojo"</f>
        <v>Sawtelle Judo Dojo</v>
      </c>
      <c r="D104" s="1" t="s">
        <v>106</v>
      </c>
      <c r="E104" s="1" t="str">
        <f>"California"</f>
        <v>California</v>
      </c>
      <c r="F104" s="1" t="str">
        <f>"Marisol"</f>
        <v>Marisol</v>
      </c>
      <c r="G104" s="1" t="str">
        <f>"Torro"</f>
        <v>Torro</v>
      </c>
      <c r="H104" s="1" t="str">
        <f>"AutreFederation"</f>
        <v>AutreFederation</v>
      </c>
      <c r="I104" s="1" t="str">
        <f t="shared" si="9"/>
        <v>F</v>
      </c>
      <c r="J104" s="2">
        <v>2002</v>
      </c>
      <c r="K104" s="1" t="str">
        <f>"1D"</f>
        <v>1D</v>
      </c>
      <c r="L104" s="1" t="s">
        <v>65</v>
      </c>
      <c r="M104" s="1" t="str">
        <f t="shared" si="12"/>
        <v>-52</v>
      </c>
      <c r="N104" s="1" t="str">
        <f>"-52kg"</f>
        <v>-52kg</v>
      </c>
      <c r="O104" s="1">
        <v>2</v>
      </c>
      <c r="P104" s="1"/>
      <c r="Q104" t="s">
        <v>236</v>
      </c>
    </row>
    <row r="105" spans="1:17" x14ac:dyDescent="0.25">
      <c r="A105" t="str">
        <f>"2018-10-21 13:01:11"</f>
        <v>2018-10-21 13:01:11</v>
      </c>
      <c r="B105" s="1" t="str">
        <f>""</f>
        <v/>
      </c>
      <c r="C105" s="1" t="str">
        <f>"AJAX Budokan"</f>
        <v>AJAX Budokan</v>
      </c>
      <c r="D105" s="1" t="str">
        <f>"ON"</f>
        <v>ON</v>
      </c>
      <c r="E105" s="1" t="str">
        <f>"Ontario"</f>
        <v>Ontario</v>
      </c>
      <c r="F105" s="1" t="str">
        <f>"Matteo"</f>
        <v>Matteo</v>
      </c>
      <c r="G105" s="1" t="str">
        <f>"Fantozzi"</f>
        <v>Fantozzi</v>
      </c>
      <c r="H105" s="1" t="str">
        <f>"0205649"</f>
        <v>0205649</v>
      </c>
      <c r="I105" s="1" t="str">
        <f>"M"</f>
        <v>M</v>
      </c>
      <c r="J105" s="2">
        <v>2002</v>
      </c>
      <c r="K105" s="1" t="str">
        <f>"1k"</f>
        <v>1k</v>
      </c>
      <c r="L105" s="4" t="s">
        <v>65</v>
      </c>
      <c r="M105" s="4" t="str">
        <f>"-55"</f>
        <v>-55</v>
      </c>
      <c r="N105" s="1" t="str">
        <f>""</f>
        <v/>
      </c>
      <c r="O105" s="1">
        <v>2</v>
      </c>
      <c r="P105" s="1" t="s">
        <v>67</v>
      </c>
      <c r="Q105" t="s">
        <v>68</v>
      </c>
    </row>
    <row r="106" spans="1:17" x14ac:dyDescent="0.25">
      <c r="A106" t="str">
        <f>"2018-10-21 20:46:58"</f>
        <v>2018-10-21 20:46:58</v>
      </c>
      <c r="B106" s="1" t="str">
        <f>""</f>
        <v/>
      </c>
      <c r="C106" s="1" t="str">
        <f>"tech judo"</f>
        <v>tech judo</v>
      </c>
      <c r="D106" s="1" t="s">
        <v>106</v>
      </c>
      <c r="E106" s="1" t="str">
        <f>"US"</f>
        <v>US</v>
      </c>
      <c r="F106" s="1" t="str">
        <f>"Regina"</f>
        <v>Regina</v>
      </c>
      <c r="G106" s="1" t="str">
        <f>"Arias"</f>
        <v>Arias</v>
      </c>
      <c r="H106" s="1" t="str">
        <f>"AutreFederation"</f>
        <v>AutreFederation</v>
      </c>
      <c r="I106" s="1" t="str">
        <f t="shared" ref="I106:I118" si="13">"F"</f>
        <v>F</v>
      </c>
      <c r="J106" s="2">
        <v>1998</v>
      </c>
      <c r="K106" s="1" t="str">
        <f>"1D"</f>
        <v>1D</v>
      </c>
      <c r="L106" s="1" t="str">
        <f>"Senior"</f>
        <v>Senior</v>
      </c>
      <c r="M106" s="1" t="str">
        <f t="shared" ref="M106:M128" si="14">"-57"</f>
        <v>-57</v>
      </c>
      <c r="N106" s="1" t="str">
        <f>""</f>
        <v/>
      </c>
      <c r="O106" s="1">
        <v>1</v>
      </c>
      <c r="P106" s="1"/>
      <c r="Q106" t="s">
        <v>237</v>
      </c>
    </row>
    <row r="107" spans="1:17" x14ac:dyDescent="0.25">
      <c r="A107" t="str">
        <f>"2018-10-01 21:50:01"</f>
        <v>2018-10-01 21:50:01</v>
      </c>
      <c r="B107" s="1" t="str">
        <f>""</f>
        <v/>
      </c>
      <c r="C107" s="1" t="str">
        <f>"Kiseki Judo"</f>
        <v>Kiseki Judo</v>
      </c>
      <c r="D107" s="1" t="str">
        <f>"QC"</f>
        <v>QC</v>
      </c>
      <c r="E107" s="1" t="str">
        <f>"Quebec"</f>
        <v>Quebec</v>
      </c>
      <c r="F107" s="1" t="str">
        <f>"Emmanuelle"</f>
        <v>Emmanuelle</v>
      </c>
      <c r="G107" s="1" t="str">
        <f>"Batisse"</f>
        <v>Batisse</v>
      </c>
      <c r="H107" s="1" t="str">
        <f>"0179901"</f>
        <v>0179901</v>
      </c>
      <c r="I107" s="1" t="str">
        <f t="shared" si="13"/>
        <v>F</v>
      </c>
      <c r="J107" s="2">
        <v>1993</v>
      </c>
      <c r="K107" s="1" t="str">
        <f>"1D"</f>
        <v>1D</v>
      </c>
      <c r="L107" s="1" t="str">
        <f>"Senior"</f>
        <v>Senior</v>
      </c>
      <c r="M107" s="1" t="str">
        <f t="shared" si="14"/>
        <v>-57</v>
      </c>
      <c r="N107" s="1" t="str">
        <f>""</f>
        <v/>
      </c>
      <c r="O107" s="1">
        <v>1</v>
      </c>
      <c r="P107" s="1"/>
      <c r="Q107" t="s">
        <v>237</v>
      </c>
    </row>
    <row r="108" spans="1:17" x14ac:dyDescent="0.25">
      <c r="A108" t="str">
        <f>"2018-09-26 23:33:27"</f>
        <v>2018-09-26 23:33:27</v>
      </c>
      <c r="B108" s="1" t="str">
        <f>""</f>
        <v/>
      </c>
      <c r="C108" s="1" t="str">
        <f>"Lethbridge Kyodokan Judo Club"</f>
        <v>Lethbridge Kyodokan Judo Club</v>
      </c>
      <c r="D108" s="1" t="str">
        <f>"AB"</f>
        <v>AB</v>
      </c>
      <c r="E108" s="1" t="str">
        <f>"Alabama"</f>
        <v>Alabama</v>
      </c>
      <c r="F108" s="1" t="str">
        <f>"Emma"</f>
        <v>Emma</v>
      </c>
      <c r="G108" s="1" t="str">
        <f>"Caldwell"</f>
        <v>Caldwell</v>
      </c>
      <c r="H108" s="1" t="str">
        <f>"0199001"</f>
        <v>0199001</v>
      </c>
      <c r="I108" s="1" t="str">
        <f t="shared" si="13"/>
        <v>F</v>
      </c>
      <c r="J108" s="2">
        <v>2002</v>
      </c>
      <c r="K108" s="1" t="str">
        <f>"1k"</f>
        <v>1k</v>
      </c>
      <c r="L108" s="1" t="s">
        <v>65</v>
      </c>
      <c r="M108" s="1" t="str">
        <f t="shared" si="14"/>
        <v>-57</v>
      </c>
      <c r="N108" s="1" t="str">
        <f>""</f>
        <v/>
      </c>
      <c r="O108" s="1">
        <v>2</v>
      </c>
      <c r="P108" s="1"/>
      <c r="Q108" t="s">
        <v>237</v>
      </c>
    </row>
    <row r="109" spans="1:17" x14ac:dyDescent="0.25">
      <c r="A109" t="str">
        <f>"2018-10-17 14:29:53"</f>
        <v>2018-10-17 14:29:53</v>
      </c>
      <c r="B109" s="1" t="str">
        <f>""</f>
        <v/>
      </c>
      <c r="C109" s="1" t="str">
        <f>"Paineiras do Morumby"</f>
        <v>Paineiras do Morumby</v>
      </c>
      <c r="D109" s="1" t="s">
        <v>164</v>
      </c>
      <c r="E109" s="1" t="str">
        <f>"Brazil"</f>
        <v>Brazil</v>
      </c>
      <c r="F109" s="1" t="str">
        <f>"Amanda"</f>
        <v>Amanda</v>
      </c>
      <c r="G109" s="1" t="str">
        <f>"Culato"</f>
        <v>Culato</v>
      </c>
      <c r="H109" s="1" t="str">
        <f>"AutreFederation"</f>
        <v>AutreFederation</v>
      </c>
      <c r="I109" s="1" t="str">
        <f t="shared" si="13"/>
        <v>F</v>
      </c>
      <c r="J109" s="2">
        <v>1992</v>
      </c>
      <c r="K109" s="1" t="str">
        <f>"1D"</f>
        <v>1D</v>
      </c>
      <c r="L109" s="1" t="str">
        <f>"Senior"</f>
        <v>Senior</v>
      </c>
      <c r="M109" s="1" t="str">
        <f t="shared" si="14"/>
        <v>-57</v>
      </c>
      <c r="N109" s="1" t="str">
        <f>""</f>
        <v/>
      </c>
      <c r="O109" s="1">
        <v>1</v>
      </c>
      <c r="P109" s="1"/>
      <c r="Q109" t="s">
        <v>237</v>
      </c>
    </row>
    <row r="110" spans="1:17" x14ac:dyDescent="0.25">
      <c r="A110" t="str">
        <f>"2018-10-05 12:09:48"</f>
        <v>2018-10-05 12:09:48</v>
      </c>
      <c r="B110" s="1" t="str">
        <f>""</f>
        <v/>
      </c>
      <c r="C110" s="1" t="str">
        <f>"Pedro's Judo National Team Force"</f>
        <v>Pedro's Judo National Team Force</v>
      </c>
      <c r="D110" s="1" t="s">
        <v>106</v>
      </c>
      <c r="E110" s="1" t="str">
        <f>"Connecticut"</f>
        <v>Connecticut</v>
      </c>
      <c r="F110" s="1" t="str">
        <f>"Skyler"</f>
        <v>Skyler</v>
      </c>
      <c r="G110" s="1" t="str">
        <f>"Cummings"</f>
        <v>Cummings</v>
      </c>
      <c r="H110" s="1" t="str">
        <f>"AutreFederation"</f>
        <v>AutreFederation</v>
      </c>
      <c r="I110" s="1" t="str">
        <f t="shared" si="13"/>
        <v>F</v>
      </c>
      <c r="J110" s="2">
        <v>2001</v>
      </c>
      <c r="K110" s="1" t="str">
        <f>"1D"</f>
        <v>1D</v>
      </c>
      <c r="L110" s="1" t="s">
        <v>65</v>
      </c>
      <c r="M110" s="1" t="str">
        <f t="shared" si="14"/>
        <v>-57</v>
      </c>
      <c r="N110" s="1" t="str">
        <f>"-57kg"</f>
        <v>-57kg</v>
      </c>
      <c r="O110" s="1">
        <v>2</v>
      </c>
      <c r="P110" s="1"/>
      <c r="Q110" t="s">
        <v>237</v>
      </c>
    </row>
    <row r="111" spans="1:17" x14ac:dyDescent="0.25">
      <c r="A111" t="str">
        <f>"2018-09-23 17:48:33"</f>
        <v>2018-09-23 17:48:33</v>
      </c>
      <c r="B111" s="1" t="str">
        <f>""</f>
        <v/>
      </c>
      <c r="C111" s="1" t="str">
        <f>"Nanaimo Judo Club"</f>
        <v>Nanaimo Judo Club</v>
      </c>
      <c r="D111" s="1" t="str">
        <f>"BC"</f>
        <v>BC</v>
      </c>
      <c r="E111" s="1" t="str">
        <f>"British Columbia"</f>
        <v>British Columbia</v>
      </c>
      <c r="F111" s="1" t="str">
        <f>"Cheyenne"</f>
        <v>Cheyenne</v>
      </c>
      <c r="G111" s="1" t="str">
        <f>"Fiandor"</f>
        <v>Fiandor</v>
      </c>
      <c r="H111" s="1" t="str">
        <f>"0153894"</f>
        <v>0153894</v>
      </c>
      <c r="I111" s="1" t="str">
        <f t="shared" si="13"/>
        <v>F</v>
      </c>
      <c r="J111" s="2">
        <v>1998</v>
      </c>
      <c r="K111" s="1" t="str">
        <f>"1D"</f>
        <v>1D</v>
      </c>
      <c r="L111" s="1" t="str">
        <f>"Senior"</f>
        <v>Senior</v>
      </c>
      <c r="M111" s="1" t="str">
        <f t="shared" si="14"/>
        <v>-57</v>
      </c>
      <c r="N111" s="1" t="str">
        <f>""</f>
        <v/>
      </c>
      <c r="O111" s="1">
        <v>1</v>
      </c>
      <c r="P111" s="1"/>
      <c r="Q111" t="s">
        <v>237</v>
      </c>
    </row>
    <row r="112" spans="1:17" x14ac:dyDescent="0.25">
      <c r="A112" t="str">
        <f>"2018-10-15 23:52:04"</f>
        <v>2018-10-15 23:52:04</v>
      </c>
      <c r="B112" s="1" t="str">
        <f>""</f>
        <v/>
      </c>
      <c r="C112" s="1" t="str">
        <f>"Tolide Judo Kwai"</f>
        <v>Tolide Judo Kwai</v>
      </c>
      <c r="D112" s="1" t="str">
        <f>"AB"</f>
        <v>AB</v>
      </c>
      <c r="E112" s="1" t="str">
        <f>"Alberta"</f>
        <v>Alberta</v>
      </c>
      <c r="F112" s="1" t="str">
        <f>"Alexandra"</f>
        <v>Alexandra</v>
      </c>
      <c r="G112" s="1" t="str">
        <f>"Gagnon"</f>
        <v>Gagnon</v>
      </c>
      <c r="H112" s="1" t="str">
        <f>"0167302"</f>
        <v>0167302</v>
      </c>
      <c r="I112" s="1" t="str">
        <f t="shared" si="13"/>
        <v>F</v>
      </c>
      <c r="J112" s="2">
        <v>1999</v>
      </c>
      <c r="K112" s="1" t="str">
        <f>"1D"</f>
        <v>1D</v>
      </c>
      <c r="L112" s="1" t="s">
        <v>65</v>
      </c>
      <c r="M112" s="1" t="str">
        <f t="shared" si="14"/>
        <v>-57</v>
      </c>
      <c r="N112" s="1" t="str">
        <f>""</f>
        <v/>
      </c>
      <c r="O112" s="1">
        <v>2</v>
      </c>
      <c r="P112" s="1"/>
      <c r="Q112" t="s">
        <v>237</v>
      </c>
    </row>
    <row r="113" spans="1:17" x14ac:dyDescent="0.25">
      <c r="A113" t="str">
        <f>"2018-10-05 09:34:14"</f>
        <v>2018-10-05 09:34:14</v>
      </c>
      <c r="B113" s="1" t="str">
        <f>""</f>
        <v/>
      </c>
      <c r="C113" s="1" t="str">
        <f>"Vernon Judo Club"</f>
        <v>Vernon Judo Club</v>
      </c>
      <c r="D113" s="1" t="str">
        <f>"BC"</f>
        <v>BC</v>
      </c>
      <c r="E113" s="1" t="str">
        <f>"British Columbia"</f>
        <v>British Columbia</v>
      </c>
      <c r="F113" s="1" t="str">
        <f>"Sydney"</f>
        <v>Sydney</v>
      </c>
      <c r="G113" s="1" t="str">
        <f>"Grevatt"</f>
        <v>Grevatt</v>
      </c>
      <c r="H113" s="1" t="str">
        <f>"0167078"</f>
        <v>0167078</v>
      </c>
      <c r="I113" s="1" t="str">
        <f t="shared" si="13"/>
        <v>F</v>
      </c>
      <c r="J113" s="2">
        <v>2001</v>
      </c>
      <c r="K113" s="1" t="str">
        <f>"1k"</f>
        <v>1k</v>
      </c>
      <c r="L113" s="1" t="s">
        <v>65</v>
      </c>
      <c r="M113" s="1" t="str">
        <f t="shared" si="14"/>
        <v>-57</v>
      </c>
      <c r="N113" s="1" t="str">
        <f>""</f>
        <v/>
      </c>
      <c r="O113" s="1">
        <v>2</v>
      </c>
      <c r="P113" s="1"/>
      <c r="Q113" t="s">
        <v>237</v>
      </c>
    </row>
    <row r="114" spans="1:17" x14ac:dyDescent="0.25">
      <c r="B114" s="1" t="str">
        <f>""</f>
        <v/>
      </c>
      <c r="C114" s="1" t="str">
        <f>"Tritton Judo"</f>
        <v>Tritton Judo</v>
      </c>
      <c r="D114" s="1" t="str">
        <f>"QC"</f>
        <v>QC</v>
      </c>
      <c r="E114" s="1" t="str">
        <f>"Quebec"</f>
        <v>Quebec</v>
      </c>
      <c r="F114" s="1" t="str">
        <f>"Elena"</f>
        <v>Elena</v>
      </c>
      <c r="G114" s="1" t="str">
        <f>"Guglielmo"</f>
        <v>Guglielmo</v>
      </c>
      <c r="H114" s="1" t="str">
        <f>"0000000"</f>
        <v>0000000</v>
      </c>
      <c r="I114" s="1" t="str">
        <f t="shared" si="13"/>
        <v>F</v>
      </c>
      <c r="J114" s="1">
        <v>1996</v>
      </c>
      <c r="K114" s="1" t="s">
        <v>110</v>
      </c>
      <c r="L114" s="1" t="str">
        <f>"Senior"</f>
        <v>Senior</v>
      </c>
      <c r="M114" s="1" t="str">
        <f t="shared" si="14"/>
        <v>-57</v>
      </c>
      <c r="N114" s="1" t="str">
        <f>""</f>
        <v/>
      </c>
      <c r="O114" s="1"/>
      <c r="P114" s="1"/>
      <c r="Q114" t="s">
        <v>237</v>
      </c>
    </row>
    <row r="115" spans="1:17" x14ac:dyDescent="0.25">
      <c r="A115" t="str">
        <f>"2018-10-01 01:14:15"</f>
        <v>2018-10-01 01:14:15</v>
      </c>
      <c r="B115" s="1" t="str">
        <f>""</f>
        <v/>
      </c>
      <c r="C115" s="1" t="str">
        <f>"Hayabusakan"</f>
        <v>Hayabusakan</v>
      </c>
      <c r="D115" s="1" t="str">
        <f>"ON"</f>
        <v>ON</v>
      </c>
      <c r="E115" s="1" t="str">
        <f>"Ontario"</f>
        <v>Ontario</v>
      </c>
      <c r="F115" s="1" t="str">
        <f>"Grace"</f>
        <v>Grace</v>
      </c>
      <c r="G115" s="1" t="str">
        <f>"Guo"</f>
        <v>Guo</v>
      </c>
      <c r="H115" s="1" t="str">
        <f>"0229531"</f>
        <v>0229531</v>
      </c>
      <c r="I115" s="1" t="str">
        <f t="shared" si="13"/>
        <v>F</v>
      </c>
      <c r="J115" s="2">
        <v>1997</v>
      </c>
      <c r="K115" s="1" t="str">
        <f>"2k"</f>
        <v>2k</v>
      </c>
      <c r="L115" s="1" t="str">
        <f>"Senior"</f>
        <v>Senior</v>
      </c>
      <c r="M115" s="1" t="str">
        <f t="shared" si="14"/>
        <v>-57</v>
      </c>
      <c r="N115" s="1" t="str">
        <f>""</f>
        <v/>
      </c>
      <c r="O115" s="1">
        <v>1</v>
      </c>
      <c r="P115" s="1"/>
      <c r="Q115" t="s">
        <v>237</v>
      </c>
    </row>
    <row r="116" spans="1:17" x14ac:dyDescent="0.25">
      <c r="B116" s="9" t="str">
        <f>""</f>
        <v/>
      </c>
      <c r="C116" s="9" t="str">
        <f>"Universal Judo"</f>
        <v>Universal Judo</v>
      </c>
      <c r="D116" s="9" t="s">
        <v>106</v>
      </c>
      <c r="E116" s="9" t="s">
        <v>106</v>
      </c>
      <c r="F116" s="9" t="str">
        <f>"Mariah"</f>
        <v>Mariah</v>
      </c>
      <c r="G116" s="9" t="str">
        <f>"Holguin"</f>
        <v>Holguin</v>
      </c>
      <c r="H116" s="9" t="str">
        <f>"AutreFederation"</f>
        <v>AutreFederation</v>
      </c>
      <c r="I116" s="9" t="str">
        <f t="shared" si="13"/>
        <v>F</v>
      </c>
      <c r="J116" s="9">
        <v>2000</v>
      </c>
      <c r="K116" s="9" t="s">
        <v>33</v>
      </c>
      <c r="L116" s="9" t="s">
        <v>65</v>
      </c>
      <c r="M116" s="9" t="str">
        <f t="shared" si="14"/>
        <v>-57</v>
      </c>
      <c r="N116" s="9"/>
      <c r="O116" s="9">
        <v>2</v>
      </c>
      <c r="P116" s="9"/>
      <c r="Q116" t="s">
        <v>237</v>
      </c>
    </row>
    <row r="117" spans="1:17" x14ac:dyDescent="0.25">
      <c r="A117" t="str">
        <f>"2018-09-25 12:32:47"</f>
        <v>2018-09-25 12:32:47</v>
      </c>
      <c r="B117" s="1" t="str">
        <f>""</f>
        <v/>
      </c>
      <c r="C117" s="1" t="str">
        <f>"Kiseki Judo"</f>
        <v>Kiseki Judo</v>
      </c>
      <c r="D117" s="1" t="str">
        <f>"QC"</f>
        <v>QC</v>
      </c>
      <c r="E117" s="1" t="str">
        <f>"Quebec"</f>
        <v>Quebec</v>
      </c>
      <c r="F117" s="1" t="str">
        <f>"Meriem"</f>
        <v>Meriem</v>
      </c>
      <c r="G117" s="1" t="str">
        <f>"Houla"</f>
        <v>Houla</v>
      </c>
      <c r="H117" s="1" t="str">
        <f>"0410478"</f>
        <v>0410478</v>
      </c>
      <c r="I117" s="1" t="str">
        <f t="shared" si="13"/>
        <v>F</v>
      </c>
      <c r="J117" s="2">
        <v>1991</v>
      </c>
      <c r="K117" s="1" t="str">
        <f>"1D"</f>
        <v>1D</v>
      </c>
      <c r="L117" s="1" t="str">
        <f>"Senior"</f>
        <v>Senior</v>
      </c>
      <c r="M117" s="1" t="str">
        <f t="shared" si="14"/>
        <v>-57</v>
      </c>
      <c r="N117" s="1" t="str">
        <f>""</f>
        <v/>
      </c>
      <c r="O117" s="1">
        <v>1</v>
      </c>
      <c r="P117" s="1"/>
      <c r="Q117" t="s">
        <v>237</v>
      </c>
    </row>
    <row r="118" spans="1:17" x14ac:dyDescent="0.25">
      <c r="A118" t="str">
        <f>"2018-10-25 11:40:27"</f>
        <v>2018-10-25 11:40:27</v>
      </c>
      <c r="B118" s="1" t="str">
        <f>""</f>
        <v/>
      </c>
      <c r="C118" s="1" t="str">
        <f>"Pense Judo Club"</f>
        <v>Pense Judo Club</v>
      </c>
      <c r="D118" s="1" t="str">
        <f>"SK"</f>
        <v>SK</v>
      </c>
      <c r="E118" s="1" t="str">
        <f>"Saskatchewan"</f>
        <v>Saskatchewan</v>
      </c>
      <c r="F118" s="1" t="str">
        <f>"Elysia"</f>
        <v>Elysia</v>
      </c>
      <c r="G118" s="1" t="str">
        <f>"Kehrig"</f>
        <v>Kehrig</v>
      </c>
      <c r="H118" s="1" t="str">
        <f>"0172572"</f>
        <v>0172572</v>
      </c>
      <c r="I118" s="1" t="str">
        <f t="shared" si="13"/>
        <v>F</v>
      </c>
      <c r="J118" s="2">
        <v>2002</v>
      </c>
      <c r="K118" s="1" t="str">
        <f>"2k"</f>
        <v>2k</v>
      </c>
      <c r="L118" s="1" t="s">
        <v>65</v>
      </c>
      <c r="M118" s="1" t="str">
        <f t="shared" si="14"/>
        <v>-57</v>
      </c>
      <c r="N118" s="1" t="str">
        <f>""</f>
        <v/>
      </c>
      <c r="O118" s="1">
        <v>2</v>
      </c>
      <c r="P118" s="1"/>
      <c r="Q118" t="s">
        <v>237</v>
      </c>
    </row>
    <row r="119" spans="1:17" x14ac:dyDescent="0.25">
      <c r="A119" t="str">
        <f>"2018-10-25 11:17:24"</f>
        <v>2018-10-25 11:17:24</v>
      </c>
      <c r="B119" s="1" t="str">
        <f>"2018-10-24 15:42:41"</f>
        <v>2018-10-24 15:42:41</v>
      </c>
      <c r="C119" s="1" t="str">
        <f>"Upper Canada Judo Club"</f>
        <v>Upper Canada Judo Club</v>
      </c>
      <c r="D119" s="1" t="str">
        <f>"ON"</f>
        <v>ON</v>
      </c>
      <c r="E119" s="1" t="str">
        <f>"Ontario"</f>
        <v>Ontario</v>
      </c>
      <c r="F119" s="1" t="str">
        <f>"Rachel"</f>
        <v>Rachel</v>
      </c>
      <c r="G119" s="1" t="str">
        <f>"Krapman"</f>
        <v>Krapman</v>
      </c>
      <c r="H119" s="1" t="str">
        <f>"0148694"</f>
        <v>0148694</v>
      </c>
      <c r="I119" s="1" t="s">
        <v>20</v>
      </c>
      <c r="J119" s="2">
        <v>2001</v>
      </c>
      <c r="K119" s="1" t="str">
        <f>"1k"</f>
        <v>1k</v>
      </c>
      <c r="L119" s="1" t="s">
        <v>65</v>
      </c>
      <c r="M119" s="1" t="str">
        <f t="shared" si="14"/>
        <v>-57</v>
      </c>
      <c r="N119" s="1" t="str">
        <f>"-57 Female"</f>
        <v>-57 Female</v>
      </c>
      <c r="O119" s="1">
        <v>2</v>
      </c>
      <c r="P119" s="1"/>
      <c r="Q119" t="s">
        <v>237</v>
      </c>
    </row>
    <row r="120" spans="1:17" x14ac:dyDescent="0.25">
      <c r="A120" t="str">
        <f>"2018-10-15 23:52:04"</f>
        <v>2018-10-15 23:52:04</v>
      </c>
      <c r="B120" s="1" t="str">
        <f>""</f>
        <v/>
      </c>
      <c r="C120" s="1" t="str">
        <f>"Steveston Judo Club"</f>
        <v>Steveston Judo Club</v>
      </c>
      <c r="D120" s="1" t="str">
        <f>"BC"</f>
        <v>BC</v>
      </c>
      <c r="E120" s="1" t="str">
        <f>"British Columbia"</f>
        <v>British Columbia</v>
      </c>
      <c r="F120" s="1" t="str">
        <f>"Caleigh"</f>
        <v>Caleigh</v>
      </c>
      <c r="G120" s="1" t="str">
        <f>"Kuramoto"</f>
        <v>Kuramoto</v>
      </c>
      <c r="H120" s="1" t="str">
        <f>"0193210"</f>
        <v>0193210</v>
      </c>
      <c r="I120" s="1" t="str">
        <f t="shared" ref="I120:I128" si="15">"F"</f>
        <v>F</v>
      </c>
      <c r="J120" s="2">
        <v>2002</v>
      </c>
      <c r="K120" s="1" t="str">
        <f>"1k"</f>
        <v>1k</v>
      </c>
      <c r="L120" s="1" t="s">
        <v>65</v>
      </c>
      <c r="M120" s="1" t="str">
        <f t="shared" si="14"/>
        <v>-57</v>
      </c>
      <c r="N120" s="1" t="str">
        <f>""</f>
        <v/>
      </c>
      <c r="O120" s="1">
        <v>2</v>
      </c>
      <c r="P120" s="1"/>
      <c r="Q120" t="s">
        <v>237</v>
      </c>
    </row>
    <row r="121" spans="1:17" x14ac:dyDescent="0.25">
      <c r="A121" t="str">
        <f>"2018-10-26 18:03:06"</f>
        <v>2018-10-26 18:03:06</v>
      </c>
      <c r="B121" s="1" t="str">
        <f>""</f>
        <v/>
      </c>
      <c r="C121" s="1" t="str">
        <f>"York Judo Club"</f>
        <v>York Judo Club</v>
      </c>
      <c r="D121" s="1" t="str">
        <f>"ON"</f>
        <v>ON</v>
      </c>
      <c r="E121" s="1" t="str">
        <f>"Ontario"</f>
        <v>Ontario</v>
      </c>
      <c r="F121" s="1" t="str">
        <f>"Rhiannon"</f>
        <v>Rhiannon</v>
      </c>
      <c r="G121" s="1" t="str">
        <f>"Lau"</f>
        <v>Lau</v>
      </c>
      <c r="H121" s="1" t="str">
        <f>"0172987"</f>
        <v>0172987</v>
      </c>
      <c r="I121" s="1" t="str">
        <f t="shared" si="15"/>
        <v>F</v>
      </c>
      <c r="J121" s="2">
        <v>2002</v>
      </c>
      <c r="K121" s="1" t="str">
        <f>"1k"</f>
        <v>1k</v>
      </c>
      <c r="L121" s="1" t="s">
        <v>65</v>
      </c>
      <c r="M121" s="1" t="str">
        <f t="shared" si="14"/>
        <v>-57</v>
      </c>
      <c r="N121" s="1" t="str">
        <f>""</f>
        <v/>
      </c>
      <c r="O121" s="1">
        <v>2</v>
      </c>
      <c r="P121" s="1"/>
      <c r="Q121" t="s">
        <v>237</v>
      </c>
    </row>
    <row r="122" spans="1:17" x14ac:dyDescent="0.25">
      <c r="A122" t="str">
        <f>"2018-10-25 11:25:04"</f>
        <v>2018-10-25 11:25:04</v>
      </c>
      <c r="B122" s="1" t="str">
        <f>""</f>
        <v/>
      </c>
      <c r="C122" s="1" t="str">
        <f>"Project 2024 Judo"</f>
        <v>Project 2024 Judo</v>
      </c>
      <c r="D122" s="1" t="s">
        <v>106</v>
      </c>
      <c r="E122" s="1" t="str">
        <f>"United States"</f>
        <v>United States</v>
      </c>
      <c r="F122" s="1" t="str">
        <f>"Katherinne"</f>
        <v>Katherinne</v>
      </c>
      <c r="G122" s="1" t="str">
        <f>"Lieby"</f>
        <v>Lieby</v>
      </c>
      <c r="H122" s="1" t="str">
        <f>"AutreFederation"</f>
        <v>AutreFederation</v>
      </c>
      <c r="I122" s="1" t="str">
        <f t="shared" si="15"/>
        <v>F</v>
      </c>
      <c r="J122" s="2">
        <v>1998</v>
      </c>
      <c r="K122" s="1" t="str">
        <f>"1D"</f>
        <v>1D</v>
      </c>
      <c r="L122" s="1" t="str">
        <f>"Senior"</f>
        <v>Senior</v>
      </c>
      <c r="M122" s="1" t="str">
        <f t="shared" si="14"/>
        <v>-57</v>
      </c>
      <c r="N122" s="1" t="str">
        <f>""</f>
        <v/>
      </c>
      <c r="O122" s="1">
        <v>1</v>
      </c>
      <c r="P122" s="1"/>
      <c r="Q122" t="s">
        <v>237</v>
      </c>
    </row>
    <row r="123" spans="1:17" x14ac:dyDescent="0.25">
      <c r="A123" t="str">
        <f>"2018-10-12 13:52:46"</f>
        <v>2018-10-12 13:52:46</v>
      </c>
      <c r="B123" s="1" t="str">
        <f>""</f>
        <v/>
      </c>
      <c r="C123" s="1" t="str">
        <f>"Scarborough Dojo"</f>
        <v>Scarborough Dojo</v>
      </c>
      <c r="D123" s="1" t="str">
        <f>"ON"</f>
        <v>ON</v>
      </c>
      <c r="E123" s="1" t="str">
        <f>"Ontario"</f>
        <v>Ontario</v>
      </c>
      <c r="F123" s="1" t="str">
        <f>"Alyssandra Phoebe"</f>
        <v>Alyssandra Phoebe</v>
      </c>
      <c r="G123" s="1" t="str">
        <f>"Manuel"</f>
        <v>Manuel</v>
      </c>
      <c r="H123" s="1" t="str">
        <f>"0196681"</f>
        <v>0196681</v>
      </c>
      <c r="I123" s="1" t="str">
        <f t="shared" si="15"/>
        <v>F</v>
      </c>
      <c r="J123" s="2">
        <v>2003</v>
      </c>
      <c r="K123" s="1" t="str">
        <f>"1k"</f>
        <v>1k</v>
      </c>
      <c r="L123" s="1" t="s">
        <v>65</v>
      </c>
      <c r="M123" s="1" t="str">
        <f t="shared" si="14"/>
        <v>-57</v>
      </c>
      <c r="N123" s="1" t="str">
        <f>"-57 kgs"</f>
        <v>-57 kgs</v>
      </c>
      <c r="O123" s="1">
        <v>2</v>
      </c>
      <c r="P123" s="1"/>
      <c r="Q123" t="s">
        <v>237</v>
      </c>
    </row>
    <row r="124" spans="1:17" x14ac:dyDescent="0.25">
      <c r="A124" t="str">
        <f>"2018-10-25 11:17:24"</f>
        <v>2018-10-25 11:17:24</v>
      </c>
      <c r="B124" s="1" t="str">
        <f>""</f>
        <v/>
      </c>
      <c r="C124" s="1" t="str">
        <f>"Club de judo Olympique"</f>
        <v>Club de judo Olympique</v>
      </c>
      <c r="D124" s="1" t="str">
        <f>"QC"</f>
        <v>QC</v>
      </c>
      <c r="E124" s="1" t="str">
        <f>"Quebec"</f>
        <v>Quebec</v>
      </c>
      <c r="F124" s="1" t="str">
        <f>"Janie"</f>
        <v>Janie</v>
      </c>
      <c r="G124" s="1" t="str">
        <f>"Meunier"</f>
        <v>Meunier</v>
      </c>
      <c r="H124" s="1" t="str">
        <f>"0090451"</f>
        <v>0090451</v>
      </c>
      <c r="I124" s="1" t="str">
        <f t="shared" si="15"/>
        <v>F</v>
      </c>
      <c r="J124" s="2">
        <v>1994</v>
      </c>
      <c r="K124" s="1" t="str">
        <f>"1D"</f>
        <v>1D</v>
      </c>
      <c r="L124" s="1" t="str">
        <f>"Senior"</f>
        <v>Senior</v>
      </c>
      <c r="M124" s="1" t="str">
        <f t="shared" si="14"/>
        <v>-57</v>
      </c>
      <c r="N124" s="1" t="str">
        <f>""</f>
        <v/>
      </c>
      <c r="O124" s="1">
        <v>1</v>
      </c>
      <c r="P124" s="1"/>
      <c r="Q124" t="s">
        <v>237</v>
      </c>
    </row>
    <row r="125" spans="1:17" x14ac:dyDescent="0.25">
      <c r="A125" t="str">
        <f>"2018-10-25 11:45:05"</f>
        <v>2018-10-25 11:45:05</v>
      </c>
      <c r="B125" s="1" t="str">
        <f>""</f>
        <v/>
      </c>
      <c r="C125" s="1" t="str">
        <f>"Club de judo Métropolitain inc."</f>
        <v>Club de judo Métropolitain inc.</v>
      </c>
      <c r="D125" s="1" t="str">
        <f>"QC"</f>
        <v>QC</v>
      </c>
      <c r="E125" s="1" t="str">
        <f>"Quebec"</f>
        <v>Quebec</v>
      </c>
      <c r="F125" s="1" t="str">
        <f>"Anne-Claire"</f>
        <v>Anne-Claire</v>
      </c>
      <c r="G125" s="1" t="str">
        <f>"Paquin"</f>
        <v>Paquin</v>
      </c>
      <c r="H125" s="1" t="str">
        <f>"0148067"</f>
        <v>0148067</v>
      </c>
      <c r="I125" s="1" t="str">
        <f t="shared" si="15"/>
        <v>F</v>
      </c>
      <c r="J125" s="2">
        <v>1999</v>
      </c>
      <c r="K125" s="1" t="str">
        <f>"1D"</f>
        <v>1D</v>
      </c>
      <c r="L125" s="1" t="str">
        <f>"Senior"</f>
        <v>Senior</v>
      </c>
      <c r="M125" s="1" t="str">
        <f t="shared" si="14"/>
        <v>-57</v>
      </c>
      <c r="N125" s="1" t="str">
        <f>""</f>
        <v/>
      </c>
      <c r="O125" s="1">
        <v>1</v>
      </c>
      <c r="P125" s="1"/>
      <c r="Q125" t="s">
        <v>237</v>
      </c>
    </row>
    <row r="126" spans="1:17" x14ac:dyDescent="0.25">
      <c r="A126" t="str">
        <f>"2018-10-25 11:40:27"</f>
        <v>2018-10-25 11:40:27</v>
      </c>
      <c r="B126" s="1" t="str">
        <f>""</f>
        <v/>
      </c>
      <c r="C126" s="1" t="str">
        <f>"Club de judo Saint-Hubert"</f>
        <v>Club de judo Saint-Hubert</v>
      </c>
      <c r="D126" s="1" t="str">
        <f>"QC"</f>
        <v>QC</v>
      </c>
      <c r="E126" s="1" t="str">
        <f>"Quebec"</f>
        <v>Quebec</v>
      </c>
      <c r="F126" s="1" t="str">
        <f>"Camelia"</f>
        <v>Camelia</v>
      </c>
      <c r="G126" s="1" t="str">
        <f>"Pitsilis"</f>
        <v>Pitsilis</v>
      </c>
      <c r="H126" s="1" t="str">
        <f>"0098798"</f>
        <v>0098798</v>
      </c>
      <c r="I126" s="1" t="str">
        <f t="shared" si="15"/>
        <v>F</v>
      </c>
      <c r="J126" s="2">
        <v>1999</v>
      </c>
      <c r="K126" s="1" t="str">
        <f>"1D"</f>
        <v>1D</v>
      </c>
      <c r="L126" s="1" t="s">
        <v>65</v>
      </c>
      <c r="M126" s="1" t="str">
        <f t="shared" si="14"/>
        <v>-57</v>
      </c>
      <c r="N126" s="1" t="str">
        <f>""</f>
        <v/>
      </c>
      <c r="O126" s="1">
        <v>2</v>
      </c>
      <c r="P126" s="1"/>
      <c r="Q126" t="s">
        <v>237</v>
      </c>
    </row>
    <row r="127" spans="1:17" x14ac:dyDescent="0.25">
      <c r="A127" t="str">
        <f>"2018-10-26 17:15:22"</f>
        <v>2018-10-26 17:15:22</v>
      </c>
      <c r="B127" s="1" t="str">
        <f>""</f>
        <v/>
      </c>
      <c r="C127" s="1" t="str">
        <f>"Atlantic Training Center"</f>
        <v>Atlantic Training Center</v>
      </c>
      <c r="D127" s="1" t="str">
        <f>"NS"</f>
        <v>NS</v>
      </c>
      <c r="E127" s="1" t="str">
        <f>"Nova Scotia"</f>
        <v>Nova Scotia</v>
      </c>
      <c r="F127" s="1" t="str">
        <f>"Sierra"</f>
        <v>Sierra</v>
      </c>
      <c r="G127" s="1" t="str">
        <f>"Tanner"</f>
        <v>Tanner</v>
      </c>
      <c r="H127" s="1" t="str">
        <f>"0141574"</f>
        <v>0141574</v>
      </c>
      <c r="I127" s="1" t="str">
        <f t="shared" si="15"/>
        <v>F</v>
      </c>
      <c r="J127" s="2">
        <v>2001</v>
      </c>
      <c r="K127" s="1" t="str">
        <f>"1D"</f>
        <v>1D</v>
      </c>
      <c r="L127" s="1" t="s">
        <v>65</v>
      </c>
      <c r="M127" s="1" t="str">
        <f t="shared" si="14"/>
        <v>-57</v>
      </c>
      <c r="N127" s="1" t="str">
        <f>""</f>
        <v/>
      </c>
      <c r="O127" s="1">
        <v>2</v>
      </c>
      <c r="P127" s="1"/>
      <c r="Q127" t="s">
        <v>237</v>
      </c>
    </row>
    <row r="128" spans="1:17" x14ac:dyDescent="0.25">
      <c r="A128" t="str">
        <f>"2018-10-05 09:34:14"</f>
        <v>2018-10-05 09:34:14</v>
      </c>
      <c r="B128" s="1" t="str">
        <f>""</f>
        <v/>
      </c>
      <c r="C128" s="1" t="str">
        <f>"Lethbridge Kyodokan Judo Club"</f>
        <v>Lethbridge Kyodokan Judo Club</v>
      </c>
      <c r="D128" s="1" t="str">
        <f>"AB"</f>
        <v>AB</v>
      </c>
      <c r="E128" s="1" t="str">
        <f>"Alberta"</f>
        <v>Alberta</v>
      </c>
      <c r="F128" s="1" t="str">
        <f>"Kiera"</f>
        <v>Kiera</v>
      </c>
      <c r="G128" s="1" t="str">
        <f>"Westlake"</f>
        <v>Westlake</v>
      </c>
      <c r="H128" s="1" t="str">
        <f>"0147633"</f>
        <v>0147633</v>
      </c>
      <c r="I128" s="1" t="str">
        <f t="shared" si="15"/>
        <v>F</v>
      </c>
      <c r="J128" s="2">
        <v>2002</v>
      </c>
      <c r="K128" s="1" t="str">
        <f>"1k"</f>
        <v>1k</v>
      </c>
      <c r="L128" s="1" t="s">
        <v>65</v>
      </c>
      <c r="M128" s="1" t="str">
        <f t="shared" si="14"/>
        <v>-57</v>
      </c>
      <c r="N128" s="1" t="str">
        <f>""</f>
        <v/>
      </c>
      <c r="O128" s="1">
        <v>2</v>
      </c>
      <c r="P128" s="1"/>
      <c r="Q128" t="s">
        <v>237</v>
      </c>
    </row>
    <row r="129" spans="1:17" x14ac:dyDescent="0.25">
      <c r="A129" t="str">
        <f>"2018-10-21 13:55:50"</f>
        <v>2018-10-21 13:55:50</v>
      </c>
      <c r="B129" s="1" t="str">
        <f>""</f>
        <v/>
      </c>
      <c r="C129" s="1" t="str">
        <f>"Club judokas Jonquière inc."</f>
        <v>Club judokas Jonquière inc.</v>
      </c>
      <c r="D129" s="1" t="str">
        <f>"QC"</f>
        <v>QC</v>
      </c>
      <c r="E129" s="1" t="str">
        <f>"Quebec"</f>
        <v>Quebec</v>
      </c>
      <c r="F129" s="1" t="str">
        <f>"Arno"</f>
        <v>Arno</v>
      </c>
      <c r="G129" s="1" t="str">
        <f>"Blackière"</f>
        <v>Blackière</v>
      </c>
      <c r="H129" s="1" t="str">
        <f>"0156762"</f>
        <v>0156762</v>
      </c>
      <c r="I129" s="1" t="str">
        <f t="shared" ref="I129:I156" si="16">"M"</f>
        <v>M</v>
      </c>
      <c r="J129" s="2">
        <v>2001</v>
      </c>
      <c r="K129" s="1" t="str">
        <f>"1D"</f>
        <v>1D</v>
      </c>
      <c r="L129" s="1" t="s">
        <v>65</v>
      </c>
      <c r="M129" s="1" t="str">
        <f>"-60"</f>
        <v>-60</v>
      </c>
      <c r="N129" s="1" t="str">
        <f>""</f>
        <v/>
      </c>
      <c r="O129" s="1">
        <v>2</v>
      </c>
      <c r="P129" s="1"/>
      <c r="Q129" t="s">
        <v>238</v>
      </c>
    </row>
    <row r="130" spans="1:17" x14ac:dyDescent="0.25">
      <c r="A130" t="str">
        <f>"2018-10-16 18:42:27"</f>
        <v>2018-10-16 18:42:27</v>
      </c>
      <c r="B130" s="1" t="str">
        <f>""</f>
        <v/>
      </c>
      <c r="C130" s="1" t="str">
        <f>"Kiseki Judo"</f>
        <v>Kiseki Judo</v>
      </c>
      <c r="D130" s="1" t="str">
        <f>"QC"</f>
        <v>QC</v>
      </c>
      <c r="E130" s="1" t="str">
        <f>"Quebec"</f>
        <v>Quebec</v>
      </c>
      <c r="F130" s="1" t="str">
        <f>"Hakim"</f>
        <v>Hakim</v>
      </c>
      <c r="G130" s="1" t="str">
        <f>"Chala"</f>
        <v>Chala</v>
      </c>
      <c r="H130" s="1" t="str">
        <f>"0182393"</f>
        <v>0182393</v>
      </c>
      <c r="I130" s="1" t="str">
        <f t="shared" si="16"/>
        <v>M</v>
      </c>
      <c r="J130" s="2">
        <v>1999</v>
      </c>
      <c r="K130" s="1" t="str">
        <f>"1D"</f>
        <v>1D</v>
      </c>
      <c r="L130" s="1" t="s">
        <v>65</v>
      </c>
      <c r="M130" s="1" t="str">
        <f>"-60"</f>
        <v>-60</v>
      </c>
      <c r="N130" s="1" t="str">
        <f>""</f>
        <v/>
      </c>
      <c r="O130" s="1">
        <v>2</v>
      </c>
      <c r="P130" s="1"/>
      <c r="Q130" t="s">
        <v>238</v>
      </c>
    </row>
    <row r="131" spans="1:17" x14ac:dyDescent="0.25">
      <c r="A131" t="str">
        <f>"2018-10-21 12:28:44"</f>
        <v>2018-10-21 12:28:44</v>
      </c>
      <c r="B131" s="1" t="str">
        <f>""</f>
        <v/>
      </c>
      <c r="C131" s="1" t="str">
        <f>"Tora judo club"</f>
        <v>Tora judo club</v>
      </c>
      <c r="D131" s="1" t="str">
        <f>"ON"</f>
        <v>ON</v>
      </c>
      <c r="E131" s="1" t="str">
        <f>"Ontario"</f>
        <v>Ontario</v>
      </c>
      <c r="F131" s="1" t="str">
        <f>"Ryan"</f>
        <v>Ryan</v>
      </c>
      <c r="G131" s="1" t="str">
        <f>"Conklin-Bric"</f>
        <v>Conklin-Bric</v>
      </c>
      <c r="H131" s="1" t="str">
        <f>"0160687"</f>
        <v>0160687</v>
      </c>
      <c r="I131" s="1" t="str">
        <f t="shared" si="16"/>
        <v>M</v>
      </c>
      <c r="J131" s="2">
        <v>2001</v>
      </c>
      <c r="K131" s="1" t="str">
        <f>"1k"</f>
        <v>1k</v>
      </c>
      <c r="L131" s="8" t="s">
        <v>65</v>
      </c>
      <c r="M131" s="8">
        <v>-60</v>
      </c>
      <c r="N131" s="1" t="str">
        <f>""</f>
        <v/>
      </c>
      <c r="O131" s="1">
        <v>2</v>
      </c>
      <c r="P131" s="1"/>
      <c r="Q131" t="s">
        <v>238</v>
      </c>
    </row>
    <row r="132" spans="1:17" x14ac:dyDescent="0.25">
      <c r="A132" t="str">
        <f>"2018-10-21 13:01:11"</f>
        <v>2018-10-21 13:01:11</v>
      </c>
      <c r="B132" s="1" t="str">
        <f>""</f>
        <v/>
      </c>
      <c r="C132" s="1" t="str">
        <f>"Sejel/Cotia"</f>
        <v>Sejel/Cotia</v>
      </c>
      <c r="D132" s="1" t="s">
        <v>164</v>
      </c>
      <c r="E132" s="1" t="str">
        <f>"Brazil"</f>
        <v>Brazil</v>
      </c>
      <c r="F132" s="1" t="str">
        <f>"Thiago Alberto"</f>
        <v>Thiago Alberto</v>
      </c>
      <c r="G132" s="1" t="str">
        <f>"Da Silva"</f>
        <v>Da Silva</v>
      </c>
      <c r="H132" s="1" t="str">
        <f>"AutreFederation"</f>
        <v>AutreFederation</v>
      </c>
      <c r="I132" s="1" t="str">
        <f t="shared" si="16"/>
        <v>M</v>
      </c>
      <c r="J132" s="2">
        <v>1991</v>
      </c>
      <c r="K132" s="1" t="str">
        <f>"1D"</f>
        <v>1D</v>
      </c>
      <c r="L132" s="8" t="str">
        <f>"Senior"</f>
        <v>Senior</v>
      </c>
      <c r="M132" s="8">
        <v>-60</v>
      </c>
      <c r="N132" s="1" t="str">
        <f>""</f>
        <v/>
      </c>
      <c r="O132" s="1">
        <v>1</v>
      </c>
      <c r="P132" s="1"/>
      <c r="Q132" t="s">
        <v>238</v>
      </c>
    </row>
    <row r="133" spans="1:17" x14ac:dyDescent="0.25">
      <c r="A133" t="str">
        <f>"2018-10-16 18:42:27"</f>
        <v>2018-10-16 18:42:27</v>
      </c>
      <c r="B133" s="1" t="str">
        <f>""</f>
        <v/>
      </c>
      <c r="C133" s="1" t="str">
        <f>"Club de judo Saint-Hyacinthe Inc."</f>
        <v>Club de judo Saint-Hyacinthe Inc.</v>
      </c>
      <c r="D133" s="1" t="str">
        <f>"QC"</f>
        <v>QC</v>
      </c>
      <c r="E133" s="1" t="str">
        <f>"Quebec"</f>
        <v>Quebec</v>
      </c>
      <c r="F133" s="1" t="str">
        <f>"Benjamin"</f>
        <v>Benjamin</v>
      </c>
      <c r="G133" s="1" t="str">
        <f>"Daviau"</f>
        <v>Daviau</v>
      </c>
      <c r="H133" s="1" t="str">
        <f>"0097704"</f>
        <v>0097704</v>
      </c>
      <c r="I133" s="1" t="str">
        <f t="shared" si="16"/>
        <v>M</v>
      </c>
      <c r="J133" s="2">
        <v>1997</v>
      </c>
      <c r="K133" s="1" t="str">
        <f>"2D"</f>
        <v>2D</v>
      </c>
      <c r="L133" s="1" t="s">
        <v>65</v>
      </c>
      <c r="M133" s="1" t="str">
        <f>"-60"</f>
        <v>-60</v>
      </c>
      <c r="N133" s="1" t="str">
        <f>""</f>
        <v/>
      </c>
      <c r="O133" s="1">
        <v>2</v>
      </c>
      <c r="P133" s="1"/>
      <c r="Q133" t="s">
        <v>238</v>
      </c>
    </row>
    <row r="134" spans="1:17" x14ac:dyDescent="0.25">
      <c r="A134" t="str">
        <f>"2018-10-21 13:01:11"</f>
        <v>2018-10-21 13:01:11</v>
      </c>
      <c r="B134" s="1" t="str">
        <f>""</f>
        <v/>
      </c>
      <c r="C134" s="1" t="str">
        <f>"Lethbridge Kyodokan Judo Club"</f>
        <v>Lethbridge Kyodokan Judo Club</v>
      </c>
      <c r="D134" s="1" t="str">
        <f>"AB"</f>
        <v>AB</v>
      </c>
      <c r="E134" s="1" t="str">
        <f>"Alberta"</f>
        <v>Alberta</v>
      </c>
      <c r="F134" s="1" t="str">
        <f>"Joel"</f>
        <v>Joel</v>
      </c>
      <c r="G134" s="1" t="str">
        <f>"Demaere"</f>
        <v>Demaere</v>
      </c>
      <c r="H134" s="1" t="str">
        <f>"1772774"</f>
        <v>1772774</v>
      </c>
      <c r="I134" s="1" t="str">
        <f t="shared" si="16"/>
        <v>M</v>
      </c>
      <c r="J134" s="2">
        <v>2001</v>
      </c>
      <c r="K134" s="1" t="str">
        <f>"1D"</f>
        <v>1D</v>
      </c>
      <c r="L134" s="1" t="s">
        <v>65</v>
      </c>
      <c r="M134" s="1" t="str">
        <f>"-60"</f>
        <v>-60</v>
      </c>
      <c r="N134" s="1" t="str">
        <f>"u60"</f>
        <v>u60</v>
      </c>
      <c r="O134" s="1">
        <v>2</v>
      </c>
      <c r="P134" s="1"/>
      <c r="Q134" t="s">
        <v>238</v>
      </c>
    </row>
    <row r="135" spans="1:17" x14ac:dyDescent="0.25">
      <c r="A135" t="str">
        <f>"2018-10-21 13:55:50"</f>
        <v>2018-10-21 13:55:50</v>
      </c>
      <c r="B135" s="1" t="str">
        <f>""</f>
        <v/>
      </c>
      <c r="C135" s="1" t="str">
        <f>"Club de judo Shidokan inc."</f>
        <v>Club de judo Shidokan inc.</v>
      </c>
      <c r="D135" s="1" t="str">
        <f>"QC"</f>
        <v>QC</v>
      </c>
      <c r="E135" s="1" t="str">
        <f>"Quebec"</f>
        <v>Quebec</v>
      </c>
      <c r="F135" s="1" t="str">
        <f>"Alexandre"</f>
        <v>Alexandre</v>
      </c>
      <c r="G135" s="1" t="str">
        <f>"Di Bartolo"</f>
        <v>Di Bartolo</v>
      </c>
      <c r="H135" s="1" t="str">
        <f>"0013421"</f>
        <v>0013421</v>
      </c>
      <c r="I135" s="1" t="str">
        <f t="shared" si="16"/>
        <v>M</v>
      </c>
      <c r="J135" s="2">
        <v>1991</v>
      </c>
      <c r="K135" s="1" t="str">
        <f>"2D"</f>
        <v>2D</v>
      </c>
      <c r="L135" s="1" t="str">
        <f>"Senior"</f>
        <v>Senior</v>
      </c>
      <c r="M135" s="1" t="str">
        <f>"-60"</f>
        <v>-60</v>
      </c>
      <c r="N135" s="1" t="str">
        <f>""</f>
        <v/>
      </c>
      <c r="O135" s="1">
        <v>1</v>
      </c>
      <c r="P135" s="1"/>
      <c r="Q135" t="s">
        <v>238</v>
      </c>
    </row>
    <row r="136" spans="1:17" x14ac:dyDescent="0.25">
      <c r="A136" t="str">
        <f>"2018-10-21 13:01:11"</f>
        <v>2018-10-21 13:01:11</v>
      </c>
      <c r="B136" s="1" t="str">
        <f>""</f>
        <v/>
      </c>
      <c r="C136" s="1" t="str">
        <f>"Lethbridge Kyodokan Judo Club"</f>
        <v>Lethbridge Kyodokan Judo Club</v>
      </c>
      <c r="D136" s="1" t="str">
        <f>"AB"</f>
        <v>AB</v>
      </c>
      <c r="E136" s="1" t="str">
        <f>"Alberta"</f>
        <v>Alberta</v>
      </c>
      <c r="F136" s="1" t="str">
        <f>"Brady"</f>
        <v>Brady</v>
      </c>
      <c r="G136" s="1" t="str">
        <f>"Dixon"</f>
        <v>Dixon</v>
      </c>
      <c r="H136" s="1" t="str">
        <f>"0184057"</f>
        <v>0184057</v>
      </c>
      <c r="I136" s="1" t="str">
        <f t="shared" si="16"/>
        <v>M</v>
      </c>
      <c r="J136" s="2">
        <v>2002</v>
      </c>
      <c r="K136" s="1" t="str">
        <f>"1k"</f>
        <v>1k</v>
      </c>
      <c r="L136" s="1" t="s">
        <v>65</v>
      </c>
      <c r="M136" s="1" t="str">
        <f>"-60"</f>
        <v>-60</v>
      </c>
      <c r="N136" s="1" t="str">
        <f>"-60kg"</f>
        <v>-60kg</v>
      </c>
      <c r="O136" s="1">
        <v>2</v>
      </c>
      <c r="P136" s="1"/>
      <c r="Q136" t="s">
        <v>238</v>
      </c>
    </row>
    <row r="137" spans="1:17" x14ac:dyDescent="0.25">
      <c r="A137" t="str">
        <f>"2018-10-21 13:55:50"</f>
        <v>2018-10-21 13:55:50</v>
      </c>
      <c r="B137" s="1" t="str">
        <f>""</f>
        <v/>
      </c>
      <c r="C137" s="1" t="str">
        <f>"Hart Judo Academy"</f>
        <v>Hart Judo Academy</v>
      </c>
      <c r="D137" s="1" t="str">
        <f>"BC"</f>
        <v>BC</v>
      </c>
      <c r="E137" s="1" t="str">
        <f>"British Columbia"</f>
        <v>British Columbia</v>
      </c>
      <c r="F137" s="1" t="str">
        <f>"Ioan"</f>
        <v>Ioan</v>
      </c>
      <c r="G137" s="1" t="str">
        <f>"Frizzell"</f>
        <v>Frizzell</v>
      </c>
      <c r="H137" s="1" t="str">
        <f>"0183079"</f>
        <v>0183079</v>
      </c>
      <c r="I137" s="1" t="str">
        <f t="shared" si="16"/>
        <v>M</v>
      </c>
      <c r="J137" s="2">
        <v>2002</v>
      </c>
      <c r="K137" s="1" t="str">
        <f>"1k"</f>
        <v>1k</v>
      </c>
      <c r="L137" s="1" t="s">
        <v>65</v>
      </c>
      <c r="M137" s="1" t="str">
        <f>"-60"</f>
        <v>-60</v>
      </c>
      <c r="N137" s="1" t="str">
        <f>""</f>
        <v/>
      </c>
      <c r="O137" s="1">
        <v>2</v>
      </c>
      <c r="P137" s="1"/>
      <c r="Q137" t="s">
        <v>238</v>
      </c>
    </row>
    <row r="138" spans="1:17" x14ac:dyDescent="0.25">
      <c r="A138" t="str">
        <f>"2018-10-21 12:28:44"</f>
        <v>2018-10-21 12:28:44</v>
      </c>
      <c r="B138" s="1" t="str">
        <f>""</f>
        <v/>
      </c>
      <c r="C138" s="1" t="str">
        <f>"Nanaimo Judo Club"</f>
        <v>Nanaimo Judo Club</v>
      </c>
      <c r="D138" s="1" t="str">
        <f>"BC"</f>
        <v>BC</v>
      </c>
      <c r="E138" s="1" t="str">
        <f>"British Columbia"</f>
        <v>British Columbia</v>
      </c>
      <c r="F138" s="1" t="str">
        <f>"Korin"</f>
        <v>Korin</v>
      </c>
      <c r="G138" s="1" t="str">
        <f>"Gardner"</f>
        <v>Gardner</v>
      </c>
      <c r="H138" s="1" t="str">
        <f>"0195674"</f>
        <v>0195674</v>
      </c>
      <c r="I138" s="1" t="str">
        <f t="shared" si="16"/>
        <v>M</v>
      </c>
      <c r="J138" s="2">
        <v>2003</v>
      </c>
      <c r="K138" s="1" t="str">
        <f>"1D"</f>
        <v>1D</v>
      </c>
      <c r="L138" s="4" t="s">
        <v>65</v>
      </c>
      <c r="M138" s="11">
        <v>-60</v>
      </c>
      <c r="N138" s="1" t="str">
        <f>""</f>
        <v/>
      </c>
      <c r="O138" s="1">
        <v>2</v>
      </c>
      <c r="P138" s="1"/>
      <c r="Q138" t="s">
        <v>238</v>
      </c>
    </row>
    <row r="139" spans="1:17" x14ac:dyDescent="0.25">
      <c r="A139" t="str">
        <f>"2018-10-21 13:01:11"</f>
        <v>2018-10-21 13:01:11</v>
      </c>
      <c r="B139" s="1" t="str">
        <f>""</f>
        <v/>
      </c>
      <c r="C139" s="1" t="str">
        <f>"Campbell River Judo Club"</f>
        <v>Campbell River Judo Club</v>
      </c>
      <c r="D139" s="1" t="str">
        <f>"BC"</f>
        <v>BC</v>
      </c>
      <c r="E139" s="1" t="str">
        <f>"British Columbia"</f>
        <v>British Columbia</v>
      </c>
      <c r="F139" s="1" t="str">
        <f>"Anthony"</f>
        <v>Anthony</v>
      </c>
      <c r="G139" s="1" t="str">
        <f>"Henry"</f>
        <v>Henry</v>
      </c>
      <c r="H139" s="1" t="str">
        <f>"0153631"</f>
        <v>0153631</v>
      </c>
      <c r="I139" s="1" t="str">
        <f t="shared" si="16"/>
        <v>M</v>
      </c>
      <c r="J139" s="2">
        <v>2001</v>
      </c>
      <c r="K139" s="1" t="str">
        <f>"1k"</f>
        <v>1k</v>
      </c>
      <c r="L139" s="1" t="s">
        <v>65</v>
      </c>
      <c r="M139" s="1" t="str">
        <f t="shared" ref="M139:M146" si="17">"-60"</f>
        <v>-60</v>
      </c>
      <c r="N139" s="1" t="str">
        <f>""</f>
        <v/>
      </c>
      <c r="O139" s="1">
        <v>2</v>
      </c>
      <c r="P139" s="1"/>
      <c r="Q139" t="s">
        <v>238</v>
      </c>
    </row>
    <row r="140" spans="1:17" x14ac:dyDescent="0.25">
      <c r="A140" t="str">
        <f>"2018-10-21 11:57:38"</f>
        <v>2018-10-21 11:57:38</v>
      </c>
      <c r="B140" s="1" t="str">
        <f>""</f>
        <v/>
      </c>
      <c r="C140" s="1" t="str">
        <f>"Judo Monde"</f>
        <v>Judo Monde</v>
      </c>
      <c r="D140" s="1" t="str">
        <f>"QC"</f>
        <v>QC</v>
      </c>
      <c r="E140" s="1" t="str">
        <f>"Quebec"</f>
        <v>Quebec</v>
      </c>
      <c r="F140" s="1" t="str">
        <f>"Loïc"</f>
        <v>Loïc</v>
      </c>
      <c r="G140" s="1" t="str">
        <f>"Imbert"</f>
        <v>Imbert</v>
      </c>
      <c r="H140" s="1" t="str">
        <f>"0092698"</f>
        <v>0092698</v>
      </c>
      <c r="I140" s="1" t="str">
        <f t="shared" si="16"/>
        <v>M</v>
      </c>
      <c r="J140" s="2">
        <v>1997</v>
      </c>
      <c r="K140" s="1" t="str">
        <f>"2D"</f>
        <v>2D</v>
      </c>
      <c r="L140" s="1" t="str">
        <f>"Senior"</f>
        <v>Senior</v>
      </c>
      <c r="M140" s="1" t="str">
        <f t="shared" si="17"/>
        <v>-60</v>
      </c>
      <c r="N140" s="1" t="str">
        <f>""</f>
        <v/>
      </c>
      <c r="O140" s="1">
        <v>1</v>
      </c>
      <c r="P140" s="1"/>
      <c r="Q140" t="s">
        <v>238</v>
      </c>
    </row>
    <row r="141" spans="1:17" x14ac:dyDescent="0.25">
      <c r="A141" t="str">
        <f>"2018-10-21 13:01:11"</f>
        <v>2018-10-21 13:01:11</v>
      </c>
      <c r="B141" s="1" t="str">
        <f>""</f>
        <v/>
      </c>
      <c r="C141" s="1" t="str">
        <f>"Jason Morris Judo Center"</f>
        <v>Jason Morris Judo Center</v>
      </c>
      <c r="D141" s="1" t="s">
        <v>106</v>
      </c>
      <c r="E141" s="1" t="str">
        <f>"United States"</f>
        <v>United States</v>
      </c>
      <c r="F141" s="1" t="str">
        <f>"Zachary"</f>
        <v>Zachary</v>
      </c>
      <c r="G141" s="1" t="str">
        <f>"Judy"</f>
        <v>Judy</v>
      </c>
      <c r="H141" s="1" t="str">
        <f>"AutreFederation"</f>
        <v>AutreFederation</v>
      </c>
      <c r="I141" s="1" t="str">
        <f t="shared" si="16"/>
        <v>M</v>
      </c>
      <c r="J141" s="2">
        <v>1992</v>
      </c>
      <c r="K141" s="1" t="str">
        <f>"1D"</f>
        <v>1D</v>
      </c>
      <c r="L141" s="1" t="str">
        <f>"Senior"</f>
        <v>Senior</v>
      </c>
      <c r="M141" s="1" t="str">
        <f t="shared" si="17"/>
        <v>-60</v>
      </c>
      <c r="N141" s="1" t="str">
        <f>""</f>
        <v/>
      </c>
      <c r="O141" s="1">
        <v>1</v>
      </c>
      <c r="P141" s="1"/>
      <c r="Q141" t="s">
        <v>238</v>
      </c>
    </row>
    <row r="142" spans="1:17" x14ac:dyDescent="0.25">
      <c r="A142" t="str">
        <f>"2018-10-04 10:26:26"</f>
        <v>2018-10-04 10:26:26</v>
      </c>
      <c r="B142" s="1" t="str">
        <f>""</f>
        <v/>
      </c>
      <c r="C142" s="1" t="str">
        <f>"South Corman Park Judo Club"</f>
        <v>South Corman Park Judo Club</v>
      </c>
      <c r="D142" s="1" t="str">
        <f>"SK"</f>
        <v>SK</v>
      </c>
      <c r="E142" s="1" t="str">
        <f>"Saskatchewan"</f>
        <v>Saskatchewan</v>
      </c>
      <c r="F142" s="1" t="str">
        <f>"Maximus"</f>
        <v>Maximus</v>
      </c>
      <c r="G142" s="1" t="str">
        <f>"Litzenberger"</f>
        <v>Litzenberger</v>
      </c>
      <c r="H142" s="1" t="str">
        <f>"0155106"</f>
        <v>0155106</v>
      </c>
      <c r="I142" s="1" t="str">
        <f t="shared" si="16"/>
        <v>M</v>
      </c>
      <c r="J142" s="2">
        <v>2002</v>
      </c>
      <c r="K142" s="1" t="str">
        <f>"1k"</f>
        <v>1k</v>
      </c>
      <c r="L142" s="1" t="s">
        <v>65</v>
      </c>
      <c r="M142" s="1" t="str">
        <f t="shared" si="17"/>
        <v>-60</v>
      </c>
      <c r="N142" s="1" t="str">
        <f>""</f>
        <v/>
      </c>
      <c r="O142" s="1">
        <v>2</v>
      </c>
      <c r="P142" s="1"/>
      <c r="Q142" t="s">
        <v>238</v>
      </c>
    </row>
    <row r="143" spans="1:17" x14ac:dyDescent="0.25">
      <c r="A143" t="str">
        <f>"2018-10-21 13:55:50"</f>
        <v>2018-10-21 13:55:50</v>
      </c>
      <c r="B143" s="1" t="str">
        <f>""</f>
        <v/>
      </c>
      <c r="C143" s="1" t="str">
        <f>"Upper Canada Judo Club"</f>
        <v>Upper Canada Judo Club</v>
      </c>
      <c r="D143" s="1" t="str">
        <f>"ON"</f>
        <v>ON</v>
      </c>
      <c r="E143" s="1" t="str">
        <f>"Ontario"</f>
        <v>Ontario</v>
      </c>
      <c r="F143" s="1" t="str">
        <f>"Daniel"</f>
        <v>Daniel</v>
      </c>
      <c r="G143" s="1" t="str">
        <f>"McCristall"</f>
        <v>McCristall</v>
      </c>
      <c r="H143" s="1" t="str">
        <f>"0166255"</f>
        <v>0166255</v>
      </c>
      <c r="I143" s="1" t="str">
        <f t="shared" si="16"/>
        <v>M</v>
      </c>
      <c r="J143" s="2">
        <v>2002</v>
      </c>
      <c r="K143" s="1" t="str">
        <f>"1D"</f>
        <v>1D</v>
      </c>
      <c r="L143" s="1" t="s">
        <v>65</v>
      </c>
      <c r="M143" s="1" t="str">
        <f t="shared" si="17"/>
        <v>-60</v>
      </c>
      <c r="N143" s="1" t="str">
        <f>""</f>
        <v/>
      </c>
      <c r="O143" s="1">
        <v>2</v>
      </c>
      <c r="P143" s="1"/>
      <c r="Q143" t="s">
        <v>238</v>
      </c>
    </row>
    <row r="144" spans="1:17" x14ac:dyDescent="0.25">
      <c r="A144" t="str">
        <f>"2018-10-21 11:57:38"</f>
        <v>2018-10-21 11:57:38</v>
      </c>
      <c r="B144" s="1" t="str">
        <f>""</f>
        <v/>
      </c>
      <c r="C144" s="1" t="str">
        <f>"Pense Judo Club"</f>
        <v>Pense Judo Club</v>
      </c>
      <c r="D144" s="1" t="str">
        <f>"SK"</f>
        <v>SK</v>
      </c>
      <c r="E144" s="1" t="str">
        <f>"Saskatchewan"</f>
        <v>Saskatchewan</v>
      </c>
      <c r="F144" s="1" t="str">
        <f>"Kyle"</f>
        <v>Kyle</v>
      </c>
      <c r="G144" s="1" t="str">
        <f>"McKay"</f>
        <v>McKay</v>
      </c>
      <c r="H144" s="1" t="str">
        <f>"0187196"</f>
        <v>0187196</v>
      </c>
      <c r="I144" s="1" t="str">
        <f t="shared" si="16"/>
        <v>M</v>
      </c>
      <c r="J144" s="2">
        <v>2001</v>
      </c>
      <c r="K144" s="1" t="str">
        <f>"1k"</f>
        <v>1k</v>
      </c>
      <c r="L144" s="1" t="s">
        <v>65</v>
      </c>
      <c r="M144" s="1" t="str">
        <f t="shared" si="17"/>
        <v>-60</v>
      </c>
      <c r="N144" s="1" t="str">
        <f>""</f>
        <v/>
      </c>
      <c r="O144" s="1">
        <v>2</v>
      </c>
      <c r="P144" s="1"/>
      <c r="Q144" t="s">
        <v>238</v>
      </c>
    </row>
    <row r="145" spans="1:17" x14ac:dyDescent="0.25">
      <c r="A145" t="str">
        <f>"2018-10-21 13:55:50"</f>
        <v>2018-10-21 13:55:50</v>
      </c>
      <c r="B145" s="1" t="str">
        <f>""</f>
        <v/>
      </c>
      <c r="C145" s="1" t="str">
        <f>"U Of M Judo Club"</f>
        <v>U Of M Judo Club</v>
      </c>
      <c r="D145" s="1" t="str">
        <f>"MB"</f>
        <v>MB</v>
      </c>
      <c r="E145" s="1" t="str">
        <f>"Manitoba"</f>
        <v>Manitoba</v>
      </c>
      <c r="F145" s="1" t="str">
        <f>"Ariel"</f>
        <v>Ariel</v>
      </c>
      <c r="G145" s="1" t="str">
        <f>"Mesongnik"</f>
        <v>Mesongnik</v>
      </c>
      <c r="H145" s="1" t="str">
        <f>"0174972"</f>
        <v>0174972</v>
      </c>
      <c r="I145" s="1" t="str">
        <f t="shared" si="16"/>
        <v>M</v>
      </c>
      <c r="J145" s="2">
        <v>2001</v>
      </c>
      <c r="K145" s="1" t="str">
        <f>"1k"</f>
        <v>1k</v>
      </c>
      <c r="L145" s="1" t="s">
        <v>65</v>
      </c>
      <c r="M145" s="1" t="str">
        <f t="shared" si="17"/>
        <v>-60</v>
      </c>
      <c r="N145" s="1" t="str">
        <f>""</f>
        <v/>
      </c>
      <c r="O145" s="1">
        <v>2</v>
      </c>
      <c r="P145" s="1"/>
      <c r="Q145" t="s">
        <v>238</v>
      </c>
    </row>
    <row r="146" spans="1:17" x14ac:dyDescent="0.25">
      <c r="A146" t="str">
        <f>"2018-10-21 11:44:38"</f>
        <v>2018-10-21 11:44:38</v>
      </c>
      <c r="B146" s="1" t="str">
        <f>""</f>
        <v/>
      </c>
      <c r="C146" s="1" t="str">
        <f>"USA Judo"</f>
        <v>USA Judo</v>
      </c>
      <c r="D146" s="1" t="s">
        <v>106</v>
      </c>
      <c r="E146" s="1" t="str">
        <f>"United States"</f>
        <v>United States</v>
      </c>
      <c r="F146" s="1" t="str">
        <f>"Jacob"</f>
        <v>Jacob</v>
      </c>
      <c r="G146" s="1" t="str">
        <f>"More"</f>
        <v>More</v>
      </c>
      <c r="H146" s="1" t="str">
        <f>"AutreFederation"</f>
        <v>AutreFederation</v>
      </c>
      <c r="I146" s="1" t="str">
        <f t="shared" si="16"/>
        <v>M</v>
      </c>
      <c r="J146" s="2">
        <v>2001</v>
      </c>
      <c r="K146" s="1" t="str">
        <f>"1D"</f>
        <v>1D</v>
      </c>
      <c r="L146" s="1" t="s">
        <v>65</v>
      </c>
      <c r="M146" s="1" t="str">
        <f t="shared" si="17"/>
        <v>-60</v>
      </c>
      <c r="N146" s="1" t="str">
        <f>""</f>
        <v/>
      </c>
      <c r="O146" s="1">
        <v>2</v>
      </c>
      <c r="P146" s="1"/>
      <c r="Q146" t="s">
        <v>238</v>
      </c>
    </row>
    <row r="147" spans="1:17" x14ac:dyDescent="0.25">
      <c r="A147" t="str">
        <f>"2018-10-21 13:01:11"</f>
        <v>2018-10-21 13:01:11</v>
      </c>
      <c r="B147" s="1" t="str">
        <f>"2018-10-25 20:18:05"</f>
        <v>2018-10-25 20:18:05</v>
      </c>
      <c r="C147" s="1" t="str">
        <f>"Invermere Judo Club"</f>
        <v>Invermere Judo Club</v>
      </c>
      <c r="D147" s="1" t="str">
        <f>"BC"</f>
        <v>BC</v>
      </c>
      <c r="E147" s="1" t="str">
        <f>"British Columbia"</f>
        <v>British Columbia</v>
      </c>
      <c r="F147" s="1" t="str">
        <f>"Graham"</f>
        <v>Graham</v>
      </c>
      <c r="G147" s="1" t="str">
        <f>"Norquay"</f>
        <v>Norquay</v>
      </c>
      <c r="H147" s="1" t="str">
        <f>"0153738"</f>
        <v>0153738</v>
      </c>
      <c r="I147" s="1" t="str">
        <f t="shared" si="16"/>
        <v>M</v>
      </c>
      <c r="J147" s="2">
        <v>2002</v>
      </c>
      <c r="K147" s="1" t="str">
        <f>"1k"</f>
        <v>1k</v>
      </c>
      <c r="L147" s="1" t="s">
        <v>65</v>
      </c>
      <c r="M147" s="12">
        <v>-60</v>
      </c>
      <c r="N147" s="1" t="str">
        <f>"-60"</f>
        <v>-60</v>
      </c>
      <c r="O147" s="1">
        <v>2</v>
      </c>
      <c r="P147" s="1"/>
      <c r="Q147" t="s">
        <v>238</v>
      </c>
    </row>
    <row r="148" spans="1:17" x14ac:dyDescent="0.25">
      <c r="A148" t="str">
        <f>"2018-10-23 23:55:40"</f>
        <v>2018-10-23 23:55:40</v>
      </c>
      <c r="B148" s="1" t="str">
        <f>""</f>
        <v/>
      </c>
      <c r="C148" s="1" t="str">
        <f>"Club de judo Shidokan inc."</f>
        <v>Club de judo Shidokan inc.</v>
      </c>
      <c r="D148" s="1" t="str">
        <f>"QC"</f>
        <v>QC</v>
      </c>
      <c r="E148" s="1" t="str">
        <f>"Quebec"</f>
        <v>Quebec</v>
      </c>
      <c r="F148" s="1" t="str">
        <f>"Adam"</f>
        <v>Adam</v>
      </c>
      <c r="G148" s="1" t="str">
        <f>"Nuara"</f>
        <v>Nuara</v>
      </c>
      <c r="H148" s="1" t="str">
        <f>"0152845"</f>
        <v>0152845</v>
      </c>
      <c r="I148" s="1" t="str">
        <f t="shared" si="16"/>
        <v>M</v>
      </c>
      <c r="J148" s="2">
        <v>2001</v>
      </c>
      <c r="K148" s="1" t="str">
        <f>"1D"</f>
        <v>1D</v>
      </c>
      <c r="L148" s="1" t="s">
        <v>65</v>
      </c>
      <c r="M148" s="1" t="str">
        <f t="shared" ref="M148:M156" si="18">"-60"</f>
        <v>-60</v>
      </c>
      <c r="N148" s="1" t="str">
        <f>"-60"</f>
        <v>-60</v>
      </c>
      <c r="O148" s="1">
        <v>2</v>
      </c>
      <c r="P148" s="1"/>
      <c r="Q148" t="s">
        <v>238</v>
      </c>
    </row>
    <row r="149" spans="1:17" x14ac:dyDescent="0.25">
      <c r="A149" t="str">
        <f>"2018-10-21 11:36:12"</f>
        <v>2018-10-21 11:36:12</v>
      </c>
      <c r="B149" s="1" t="str">
        <f>""</f>
        <v/>
      </c>
      <c r="C149" s="1" t="str">
        <f>"Shin Bu Kan"</f>
        <v>Shin Bu Kan</v>
      </c>
      <c r="D149" s="1" t="str">
        <f>"ON"</f>
        <v>ON</v>
      </c>
      <c r="E149" s="1" t="str">
        <f>"Ontario"</f>
        <v>Ontario</v>
      </c>
      <c r="F149" s="1" t="str">
        <f>"Akshay"</f>
        <v>Akshay</v>
      </c>
      <c r="G149" s="1" t="str">
        <f>"Rajaram"</f>
        <v>Rajaram</v>
      </c>
      <c r="H149" s="1" t="str">
        <f>"0178023"</f>
        <v>0178023</v>
      </c>
      <c r="I149" s="1" t="str">
        <f t="shared" si="16"/>
        <v>M</v>
      </c>
      <c r="J149" s="2">
        <v>1990</v>
      </c>
      <c r="K149" s="1" t="str">
        <f>"1k"</f>
        <v>1k</v>
      </c>
      <c r="L149" s="1" t="str">
        <f>"Senior"</f>
        <v>Senior</v>
      </c>
      <c r="M149" s="1" t="str">
        <f t="shared" si="18"/>
        <v>-60</v>
      </c>
      <c r="N149" s="1" t="str">
        <f>""</f>
        <v/>
      </c>
      <c r="O149" s="1">
        <v>1</v>
      </c>
      <c r="P149" s="1"/>
      <c r="Q149" t="s">
        <v>238</v>
      </c>
    </row>
    <row r="150" spans="1:17" x14ac:dyDescent="0.25">
      <c r="A150" t="str">
        <f>"2018-10-21 18:01:20"</f>
        <v>2018-10-21 18:01:20</v>
      </c>
      <c r="B150" s="1" t="str">
        <f>""</f>
        <v/>
      </c>
      <c r="C150" s="1" t="str">
        <f>"Judo Blainville"</f>
        <v>Judo Blainville</v>
      </c>
      <c r="D150" s="1" t="str">
        <f>"QC"</f>
        <v>QC</v>
      </c>
      <c r="E150" s="1" t="str">
        <f>"Quebec"</f>
        <v>Quebec</v>
      </c>
      <c r="F150" s="1" t="str">
        <f>"Nathan"</f>
        <v>Nathan</v>
      </c>
      <c r="G150" s="1" t="str">
        <f>"Sauriol"</f>
        <v>Sauriol</v>
      </c>
      <c r="H150" s="1" t="str">
        <f>"0173782"</f>
        <v>0173782</v>
      </c>
      <c r="I150" s="1" t="str">
        <f t="shared" si="16"/>
        <v>M</v>
      </c>
      <c r="J150" s="2">
        <v>2001</v>
      </c>
      <c r="K150" s="1" t="str">
        <f>"1k"</f>
        <v>1k</v>
      </c>
      <c r="L150" s="1" t="s">
        <v>65</v>
      </c>
      <c r="M150" s="1" t="str">
        <f t="shared" si="18"/>
        <v>-60</v>
      </c>
      <c r="N150" s="1" t="str">
        <f>""</f>
        <v/>
      </c>
      <c r="O150" s="1">
        <v>2</v>
      </c>
      <c r="P150" s="1"/>
      <c r="Q150" t="s">
        <v>238</v>
      </c>
    </row>
    <row r="151" spans="1:17" x14ac:dyDescent="0.25">
      <c r="A151" t="str">
        <f>"2018-10-21 11:57:38"</f>
        <v>2018-10-21 11:57:38</v>
      </c>
      <c r="B151" s="1" t="str">
        <f>""</f>
        <v/>
      </c>
      <c r="C151" s="1" t="str">
        <f>"Keisatsu Judo Winnipeg"</f>
        <v>Keisatsu Judo Winnipeg</v>
      </c>
      <c r="D151" s="1" t="str">
        <f>"MB"</f>
        <v>MB</v>
      </c>
      <c r="E151" s="1" t="str">
        <f>"Manitoba"</f>
        <v>Manitoba</v>
      </c>
      <c r="F151" s="1" t="str">
        <f>"Riley"</f>
        <v>Riley</v>
      </c>
      <c r="G151" s="1" t="str">
        <f>"Southby"</f>
        <v>Southby</v>
      </c>
      <c r="H151" s="1" t="str">
        <f>"0217492"</f>
        <v>0217492</v>
      </c>
      <c r="I151" s="1" t="str">
        <f t="shared" si="16"/>
        <v>M</v>
      </c>
      <c r="J151" s="2">
        <v>1996</v>
      </c>
      <c r="K151" s="1" t="str">
        <f>"1k"</f>
        <v>1k</v>
      </c>
      <c r="L151" s="1" t="s">
        <v>65</v>
      </c>
      <c r="M151" s="1" t="str">
        <f t="shared" si="18"/>
        <v>-60</v>
      </c>
      <c r="N151" s="1" t="str">
        <f>""</f>
        <v/>
      </c>
      <c r="O151" s="1">
        <v>2</v>
      </c>
      <c r="P151" s="1"/>
      <c r="Q151" t="s">
        <v>238</v>
      </c>
    </row>
    <row r="152" spans="1:17" x14ac:dyDescent="0.25">
      <c r="A152" t="str">
        <f>"2018-10-21 11:57:38"</f>
        <v>2018-10-21 11:57:38</v>
      </c>
      <c r="B152" s="1" t="str">
        <f>""</f>
        <v/>
      </c>
      <c r="C152" s="1" t="str">
        <f>"Club de judo Seiko"</f>
        <v>Club de judo Seiko</v>
      </c>
      <c r="D152" s="1" t="str">
        <f>"QC"</f>
        <v>QC</v>
      </c>
      <c r="E152" s="1" t="str">
        <f>"Quebec"</f>
        <v>Quebec</v>
      </c>
      <c r="F152" s="1" t="str">
        <f>"Isaak"</f>
        <v>Isaak</v>
      </c>
      <c r="G152" s="1" t="str">
        <f>"St-Hilaire"</f>
        <v>St-Hilaire</v>
      </c>
      <c r="H152" s="1" t="str">
        <f>"0142363"</f>
        <v>0142363</v>
      </c>
      <c r="I152" s="1" t="str">
        <f t="shared" si="16"/>
        <v>M</v>
      </c>
      <c r="J152" s="2">
        <v>2002</v>
      </c>
      <c r="K152" s="1" t="str">
        <f>"1D"</f>
        <v>1D</v>
      </c>
      <c r="L152" s="1" t="s">
        <v>65</v>
      </c>
      <c r="M152" s="1" t="str">
        <f t="shared" si="18"/>
        <v>-60</v>
      </c>
      <c r="N152" s="1" t="str">
        <f>""</f>
        <v/>
      </c>
      <c r="O152" s="1">
        <v>2</v>
      </c>
      <c r="P152" s="1"/>
      <c r="Q152" t="s">
        <v>238</v>
      </c>
    </row>
    <row r="153" spans="1:17" x14ac:dyDescent="0.25">
      <c r="A153" t="str">
        <f>"2018-10-21 11:36:12"</f>
        <v>2018-10-21 11:36:12</v>
      </c>
      <c r="B153" s="1" t="str">
        <f>""</f>
        <v/>
      </c>
      <c r="C153" s="1" t="str">
        <f>"Hayabusakan"</f>
        <v>Hayabusakan</v>
      </c>
      <c r="D153" s="1" t="str">
        <f>"ON"</f>
        <v>ON</v>
      </c>
      <c r="E153" s="1" t="str">
        <f>"Ontario"</f>
        <v>Ontario</v>
      </c>
      <c r="F153" s="1" t="str">
        <f>"David"</f>
        <v>David</v>
      </c>
      <c r="G153" s="1" t="str">
        <f>"Teper"</f>
        <v>Teper</v>
      </c>
      <c r="H153" s="1" t="str">
        <f>"0158766"</f>
        <v>0158766</v>
      </c>
      <c r="I153" s="1" t="str">
        <f t="shared" si="16"/>
        <v>M</v>
      </c>
      <c r="J153" s="2">
        <v>2001</v>
      </c>
      <c r="K153" s="1" t="str">
        <f>"1D"</f>
        <v>1D</v>
      </c>
      <c r="L153" s="1" t="s">
        <v>65</v>
      </c>
      <c r="M153" s="1" t="str">
        <f t="shared" si="18"/>
        <v>-60</v>
      </c>
      <c r="N153" s="1" t="str">
        <f>""</f>
        <v/>
      </c>
      <c r="O153" s="1">
        <v>2</v>
      </c>
      <c r="P153" s="1"/>
      <c r="Q153" t="s">
        <v>238</v>
      </c>
    </row>
    <row r="154" spans="1:17" x14ac:dyDescent="0.25">
      <c r="A154" t="str">
        <f>"2018-10-21 13:01:11"</f>
        <v>2018-10-21 13:01:11</v>
      </c>
      <c r="B154" s="1" t="str">
        <f>""</f>
        <v/>
      </c>
      <c r="C154" s="1" t="str">
        <f>"Valley Judo Institute"</f>
        <v>Valley Judo Institute</v>
      </c>
      <c r="D154" s="1" t="s">
        <v>106</v>
      </c>
      <c r="E154" s="1" t="str">
        <f>"United States"</f>
        <v>United States</v>
      </c>
      <c r="F154" s="1" t="str">
        <f>"Telman"</f>
        <v>Telman</v>
      </c>
      <c r="G154" s="1" t="str">
        <f>"Yegiazaryan"</f>
        <v>Yegiazaryan</v>
      </c>
      <c r="H154" s="1" t="str">
        <f>"AutreFederation"</f>
        <v>AutreFederation</v>
      </c>
      <c r="I154" s="1" t="str">
        <f t="shared" si="16"/>
        <v>M</v>
      </c>
      <c r="J154" s="2">
        <v>2002</v>
      </c>
      <c r="K154" s="1" t="s">
        <v>158</v>
      </c>
      <c r="L154" s="1" t="s">
        <v>65</v>
      </c>
      <c r="M154" s="1" t="str">
        <f t="shared" si="18"/>
        <v>-60</v>
      </c>
      <c r="N154" s="1" t="str">
        <f>"60kg"</f>
        <v>60kg</v>
      </c>
      <c r="O154" s="1">
        <v>2</v>
      </c>
      <c r="P154" s="1"/>
      <c r="Q154" t="s">
        <v>238</v>
      </c>
    </row>
    <row r="155" spans="1:17" x14ac:dyDescent="0.25">
      <c r="A155" t="str">
        <f>"2018-10-21 13:55:50"</f>
        <v>2018-10-21 13:55:50</v>
      </c>
      <c r="B155" s="1" t="str">
        <f>""</f>
        <v/>
      </c>
      <c r="C155" s="1" t="str">
        <f>"AJAX Budokan"</f>
        <v>AJAX Budokan</v>
      </c>
      <c r="D155" s="1" t="str">
        <f>"ON"</f>
        <v>ON</v>
      </c>
      <c r="E155" s="1" t="str">
        <f>"Ontario"</f>
        <v>Ontario</v>
      </c>
      <c r="F155" s="1" t="str">
        <f>"Keyano"</f>
        <v>Keyano</v>
      </c>
      <c r="G155" s="1" t="str">
        <f>"Young"</f>
        <v>Young</v>
      </c>
      <c r="H155" s="1" t="str">
        <f>"0201818"</f>
        <v>0201818</v>
      </c>
      <c r="I155" s="1" t="str">
        <f t="shared" si="16"/>
        <v>M</v>
      </c>
      <c r="J155" s="2">
        <v>1999</v>
      </c>
      <c r="K155" s="1" t="s">
        <v>158</v>
      </c>
      <c r="L155" s="1" t="s">
        <v>65</v>
      </c>
      <c r="M155" s="1" t="str">
        <f t="shared" si="18"/>
        <v>-60</v>
      </c>
      <c r="N155" s="1" t="str">
        <f>""</f>
        <v/>
      </c>
      <c r="O155" s="1">
        <v>2</v>
      </c>
      <c r="P155" s="1"/>
      <c r="Q155" t="s">
        <v>238</v>
      </c>
    </row>
    <row r="156" spans="1:17" x14ac:dyDescent="0.25">
      <c r="A156" t="str">
        <f>"2018-10-21 13:55:50"</f>
        <v>2018-10-21 13:55:50</v>
      </c>
      <c r="B156" s="1" t="str">
        <f>""</f>
        <v/>
      </c>
      <c r="C156" s="1" t="str">
        <f>"Hart Judo Academy"</f>
        <v>Hart Judo Academy</v>
      </c>
      <c r="D156" s="1" t="str">
        <f>"BC"</f>
        <v>BC</v>
      </c>
      <c r="E156" s="1" t="str">
        <f>"British Columbia"</f>
        <v>British Columbia</v>
      </c>
      <c r="F156" s="1" t="str">
        <f>"Maxwell"</f>
        <v>Maxwell</v>
      </c>
      <c r="G156" s="1" t="str">
        <f>"Young"</f>
        <v>Young</v>
      </c>
      <c r="H156" s="1" t="str">
        <f>"0172164"</f>
        <v>0172164</v>
      </c>
      <c r="I156" s="1" t="str">
        <f t="shared" si="16"/>
        <v>M</v>
      </c>
      <c r="J156" s="2">
        <v>2001</v>
      </c>
      <c r="K156" s="1" t="str">
        <f>"1D"</f>
        <v>1D</v>
      </c>
      <c r="L156" s="1" t="s">
        <v>65</v>
      </c>
      <c r="M156" s="1" t="str">
        <f t="shared" si="18"/>
        <v>-60</v>
      </c>
      <c r="N156" s="1" t="str">
        <f>""</f>
        <v/>
      </c>
      <c r="O156" s="1">
        <v>2</v>
      </c>
      <c r="P156" s="1"/>
      <c r="Q156" t="s">
        <v>238</v>
      </c>
    </row>
    <row r="157" spans="1:17" x14ac:dyDescent="0.25">
      <c r="A157" t="str">
        <f>"2018-10-24 11:20:30"</f>
        <v>2018-10-24 11:20:30</v>
      </c>
      <c r="B157" s="1" t="str">
        <f>""</f>
        <v/>
      </c>
      <c r="C157" s="1" t="str">
        <f>"Tora Judo Club"</f>
        <v>Tora Judo Club</v>
      </c>
      <c r="D157" s="1" t="str">
        <f>"ON"</f>
        <v>ON</v>
      </c>
      <c r="E157" s="1" t="str">
        <f>"Ontario"</f>
        <v>Ontario</v>
      </c>
      <c r="F157" s="1" t="str">
        <f>"Deanna"</f>
        <v>Deanna</v>
      </c>
      <c r="G157" s="1" t="str">
        <f>"Barnes"</f>
        <v>Barnes</v>
      </c>
      <c r="H157" s="1" t="str">
        <f>"0193328"</f>
        <v>0193328</v>
      </c>
      <c r="I157" s="1" t="str">
        <f t="shared" ref="I157:I177" si="19">"F"</f>
        <v>F</v>
      </c>
      <c r="J157" s="2">
        <v>2002</v>
      </c>
      <c r="K157" s="1" t="str">
        <f>"1k"</f>
        <v>1k</v>
      </c>
      <c r="L157" s="1" t="s">
        <v>65</v>
      </c>
      <c r="M157" s="1" t="str">
        <f t="shared" ref="M157:M177" si="20">"-63"</f>
        <v>-63</v>
      </c>
      <c r="N157" s="1" t="str">
        <f>""</f>
        <v/>
      </c>
      <c r="O157" s="1">
        <v>2</v>
      </c>
      <c r="P157" s="1"/>
      <c r="Q157" t="s">
        <v>239</v>
      </c>
    </row>
    <row r="158" spans="1:17" x14ac:dyDescent="0.25">
      <c r="B158" s="9" t="str">
        <f>""</f>
        <v/>
      </c>
      <c r="C158" s="9" t="str">
        <f>"Universal Judo"</f>
        <v>Universal Judo</v>
      </c>
      <c r="D158" s="9" t="s">
        <v>106</v>
      </c>
      <c r="E158" s="9" t="str">
        <f>"USA"</f>
        <v>USA</v>
      </c>
      <c r="F158" s="9" t="str">
        <f>"Katherine"</f>
        <v>Katherine</v>
      </c>
      <c r="G158" s="9" t="str">
        <f>"Bernier"</f>
        <v>Bernier</v>
      </c>
      <c r="H158" s="9" t="str">
        <f>"AutreFederation"</f>
        <v>AutreFederation</v>
      </c>
      <c r="I158" s="9" t="str">
        <f t="shared" si="19"/>
        <v>F</v>
      </c>
      <c r="J158" s="9">
        <v>1999</v>
      </c>
      <c r="K158" s="9" t="str">
        <f>"1k"</f>
        <v>1k</v>
      </c>
      <c r="L158" s="9" t="s">
        <v>65</v>
      </c>
      <c r="M158" s="9" t="str">
        <f t="shared" si="20"/>
        <v>-63</v>
      </c>
      <c r="N158" s="9"/>
      <c r="O158" s="9">
        <v>2</v>
      </c>
      <c r="P158" s="9"/>
      <c r="Q158" t="s">
        <v>239</v>
      </c>
    </row>
    <row r="159" spans="1:17" x14ac:dyDescent="0.25">
      <c r="A159" t="str">
        <f>"2018-10-21 12:28:44"</f>
        <v>2018-10-21 12:28:44</v>
      </c>
      <c r="B159" s="1" t="str">
        <f>""</f>
        <v/>
      </c>
      <c r="C159" s="1" t="str">
        <f>"Dojo Perrot Shima"</f>
        <v>Dojo Perrot Shima</v>
      </c>
      <c r="D159" s="1" t="str">
        <f>"QC"</f>
        <v>QC</v>
      </c>
      <c r="E159" s="1" t="str">
        <f>"Quebec"</f>
        <v>Quebec</v>
      </c>
      <c r="F159" s="1" t="str">
        <f>"Myriam"</f>
        <v>Myriam</v>
      </c>
      <c r="G159" s="1" t="str">
        <f>"Brazeau"</f>
        <v>Brazeau</v>
      </c>
      <c r="H159" s="1" t="str">
        <f>"0227723"</f>
        <v>0227723</v>
      </c>
      <c r="I159" s="1" t="str">
        <f t="shared" si="19"/>
        <v>F</v>
      </c>
      <c r="J159" s="2">
        <v>2003</v>
      </c>
      <c r="K159" s="1" t="str">
        <f>"1k"</f>
        <v>1k</v>
      </c>
      <c r="L159" s="1" t="s">
        <v>65</v>
      </c>
      <c r="M159" s="1" t="str">
        <f t="shared" si="20"/>
        <v>-63</v>
      </c>
      <c r="N159" s="1" t="str">
        <f>""</f>
        <v/>
      </c>
      <c r="O159" s="1">
        <v>2</v>
      </c>
      <c r="P159" s="1"/>
      <c r="Q159" t="s">
        <v>239</v>
      </c>
    </row>
    <row r="160" spans="1:17" x14ac:dyDescent="0.25">
      <c r="A160" t="str">
        <f>"2018-10-21 13:01:11"</f>
        <v>2018-10-21 13:01:11</v>
      </c>
      <c r="B160" s="1" t="str">
        <f>""</f>
        <v/>
      </c>
      <c r="C160" s="1" t="str">
        <f>"Judo Ju Shin Kan Laterrière"</f>
        <v>Judo Ju Shin Kan Laterrière</v>
      </c>
      <c r="D160" s="1" t="str">
        <f>"QC"</f>
        <v>QC</v>
      </c>
      <c r="E160" s="1" t="str">
        <f>"Quebec"</f>
        <v>Quebec</v>
      </c>
      <c r="F160" s="1" t="str">
        <f>"Roxanne"</f>
        <v>Roxanne</v>
      </c>
      <c r="G160" s="1" t="str">
        <f>"Emond"</f>
        <v>Emond</v>
      </c>
      <c r="H160" s="1" t="str">
        <f>"0171439"</f>
        <v>0171439</v>
      </c>
      <c r="I160" s="1" t="str">
        <f t="shared" si="19"/>
        <v>F</v>
      </c>
      <c r="J160" s="2">
        <v>2000</v>
      </c>
      <c r="K160" s="1" t="str">
        <f>"1D"</f>
        <v>1D</v>
      </c>
      <c r="L160" s="1" t="s">
        <v>65</v>
      </c>
      <c r="M160" s="1" t="str">
        <f t="shared" si="20"/>
        <v>-63</v>
      </c>
      <c r="N160" s="1" t="str">
        <f>""</f>
        <v/>
      </c>
      <c r="O160" s="1">
        <v>2</v>
      </c>
      <c r="P160" s="1"/>
      <c r="Q160" t="s">
        <v>239</v>
      </c>
    </row>
    <row r="161" spans="1:17" x14ac:dyDescent="0.25">
      <c r="A161" t="str">
        <f>"2018-10-25 11:11:23"</f>
        <v>2018-10-25 11:11:23</v>
      </c>
      <c r="B161" s="1" t="str">
        <f>""</f>
        <v/>
      </c>
      <c r="C161" s="1" t="str">
        <f>"Nanaimo Judo Club"</f>
        <v>Nanaimo Judo Club</v>
      </c>
      <c r="D161" s="1" t="str">
        <f>"BC"</f>
        <v>BC</v>
      </c>
      <c r="E161" s="1" t="str">
        <f>"British Columbia"</f>
        <v>British Columbia</v>
      </c>
      <c r="F161" s="1" t="str">
        <f>"Alicia"</f>
        <v>Alicia</v>
      </c>
      <c r="G161" s="1" t="str">
        <f>"Fiandor"</f>
        <v>Fiandor</v>
      </c>
      <c r="H161" s="1" t="str">
        <f>"0153895"</f>
        <v>0153895</v>
      </c>
      <c r="I161" s="1" t="str">
        <f t="shared" si="19"/>
        <v>F</v>
      </c>
      <c r="J161" s="2">
        <v>2000</v>
      </c>
      <c r="K161" s="1" t="str">
        <f>"2D"</f>
        <v>2D</v>
      </c>
      <c r="L161" s="1" t="s">
        <v>65</v>
      </c>
      <c r="M161" s="1" t="str">
        <f t="shared" si="20"/>
        <v>-63</v>
      </c>
      <c r="N161" s="1" t="str">
        <f>""</f>
        <v/>
      </c>
      <c r="O161" s="1">
        <v>2</v>
      </c>
      <c r="P161" s="1"/>
      <c r="Q161" t="s">
        <v>239</v>
      </c>
    </row>
    <row r="162" spans="1:17" x14ac:dyDescent="0.25">
      <c r="B162" s="1" t="str">
        <f>""</f>
        <v/>
      </c>
      <c r="C162" s="1" t="str">
        <f>"Club de judo Hakudokan"</f>
        <v>Club de judo Hakudokan</v>
      </c>
      <c r="D162" s="1" t="str">
        <f>"QC"</f>
        <v>QC</v>
      </c>
      <c r="E162" s="1" t="str">
        <f>"Quebec"</f>
        <v>Quebec</v>
      </c>
      <c r="F162" s="1" t="str">
        <f>"Lysa"</f>
        <v>Lysa</v>
      </c>
      <c r="G162" s="1" t="str">
        <f>"Gagnon"</f>
        <v>Gagnon</v>
      </c>
      <c r="H162" s="1" t="str">
        <f>"0092059"</f>
        <v>0092059</v>
      </c>
      <c r="I162" s="1" t="str">
        <f t="shared" si="19"/>
        <v>F</v>
      </c>
      <c r="J162" s="1">
        <v>1994</v>
      </c>
      <c r="K162" s="1" t="str">
        <f>"1D"</f>
        <v>1D</v>
      </c>
      <c r="L162" s="1" t="str">
        <f>"Senior"</f>
        <v>Senior</v>
      </c>
      <c r="M162" s="1" t="str">
        <f t="shared" si="20"/>
        <v>-63</v>
      </c>
      <c r="N162" s="1"/>
      <c r="O162" s="1">
        <v>1</v>
      </c>
      <c r="P162" s="1"/>
      <c r="Q162" t="s">
        <v>239</v>
      </c>
    </row>
    <row r="163" spans="1:17" x14ac:dyDescent="0.25">
      <c r="A163" t="str">
        <f>"2018-10-21 13:01:11"</f>
        <v>2018-10-21 13:01:11</v>
      </c>
      <c r="B163" s="1" t="str">
        <f>""</f>
        <v/>
      </c>
      <c r="C163" s="1" t="str">
        <f>"USA Judo"</f>
        <v>USA Judo</v>
      </c>
      <c r="D163" s="1" t="s">
        <v>106</v>
      </c>
      <c r="E163" s="1" t="str">
        <f>"United States"</f>
        <v>United States</v>
      </c>
      <c r="F163" s="1" t="str">
        <f>"Alisha"</f>
        <v>Alisha</v>
      </c>
      <c r="G163" s="1" t="str">
        <f>"Galles"</f>
        <v>Galles</v>
      </c>
      <c r="H163" s="1" t="str">
        <f>"AutreFederation"</f>
        <v>AutreFederation</v>
      </c>
      <c r="I163" s="1" t="str">
        <f t="shared" si="19"/>
        <v>F</v>
      </c>
      <c r="J163" s="2">
        <v>1995</v>
      </c>
      <c r="K163" s="1" t="str">
        <f>"1D"</f>
        <v>1D</v>
      </c>
      <c r="L163" s="1" t="str">
        <f>"Senior"</f>
        <v>Senior</v>
      </c>
      <c r="M163" s="1" t="str">
        <f t="shared" si="20"/>
        <v>-63</v>
      </c>
      <c r="N163" s="1" t="str">
        <f>""</f>
        <v/>
      </c>
      <c r="O163" s="1">
        <v>1</v>
      </c>
      <c r="P163" s="1"/>
      <c r="Q163" t="s">
        <v>239</v>
      </c>
    </row>
    <row r="164" spans="1:17" x14ac:dyDescent="0.25">
      <c r="A164" t="str">
        <f>"2018-10-25 11:11:23"</f>
        <v>2018-10-25 11:11:23</v>
      </c>
      <c r="B164" s="1" t="str">
        <f>""</f>
        <v/>
      </c>
      <c r="C164" s="1" t="str">
        <f>"USA Judo"</f>
        <v>USA Judo</v>
      </c>
      <c r="D164" s="1" t="s">
        <v>106</v>
      </c>
      <c r="E164" s="1" t="str">
        <f>"Illinois"</f>
        <v>Illinois</v>
      </c>
      <c r="F164" s="1" t="str">
        <f>"Sara"</f>
        <v>Sara</v>
      </c>
      <c r="G164" s="1" t="str">
        <f>"Golden"</f>
        <v>Golden</v>
      </c>
      <c r="H164" s="1" t="str">
        <f>"AutreFederation"</f>
        <v>AutreFederation</v>
      </c>
      <c r="I164" s="1" t="str">
        <f t="shared" si="19"/>
        <v>F</v>
      </c>
      <c r="J164" s="2">
        <v>2001</v>
      </c>
      <c r="K164" s="1" t="str">
        <f>"1D"</f>
        <v>1D</v>
      </c>
      <c r="L164" s="1" t="s">
        <v>65</v>
      </c>
      <c r="M164" s="1" t="str">
        <f t="shared" si="20"/>
        <v>-63</v>
      </c>
      <c r="N164" s="1" t="str">
        <f>""</f>
        <v/>
      </c>
      <c r="O164" s="1">
        <v>2</v>
      </c>
      <c r="P164" s="1"/>
      <c r="Q164" t="s">
        <v>239</v>
      </c>
    </row>
    <row r="165" spans="1:17" x14ac:dyDescent="0.25">
      <c r="A165" t="str">
        <f>"2018-10-25 11:11:23"</f>
        <v>2018-10-25 11:11:23</v>
      </c>
      <c r="B165" s="1" t="str">
        <f>""</f>
        <v/>
      </c>
      <c r="C165" s="1" t="str">
        <f>"Abbotsford Judo Club"</f>
        <v>Abbotsford Judo Club</v>
      </c>
      <c r="D165" s="1" t="str">
        <f>"BC"</f>
        <v>BC</v>
      </c>
      <c r="E165" s="1" t="str">
        <f>"British Columbia"</f>
        <v>British Columbia</v>
      </c>
      <c r="F165" s="1" t="str">
        <f>"Isabelle"</f>
        <v>Isabelle</v>
      </c>
      <c r="G165" s="1" t="str">
        <f>"Harris"</f>
        <v>Harris</v>
      </c>
      <c r="H165" s="1" t="str">
        <f>"0191153"</f>
        <v>0191153</v>
      </c>
      <c r="I165" s="1" t="str">
        <f t="shared" si="19"/>
        <v>F</v>
      </c>
      <c r="J165" s="2">
        <v>2001</v>
      </c>
      <c r="K165" s="1" t="str">
        <f>"1D"</f>
        <v>1D</v>
      </c>
      <c r="L165" s="1" t="s">
        <v>65</v>
      </c>
      <c r="M165" s="1" t="str">
        <f t="shared" si="20"/>
        <v>-63</v>
      </c>
      <c r="N165" s="1" t="str">
        <f>""</f>
        <v/>
      </c>
      <c r="O165" s="1">
        <v>2</v>
      </c>
      <c r="P165" s="1"/>
      <c r="Q165" t="s">
        <v>239</v>
      </c>
    </row>
    <row r="166" spans="1:17" x14ac:dyDescent="0.25">
      <c r="A166" t="str">
        <f>"2018-10-21 11:36:12"</f>
        <v>2018-10-21 11:36:12</v>
      </c>
      <c r="B166" s="1" t="str">
        <f>""</f>
        <v/>
      </c>
      <c r="C166" s="1" t="str">
        <f>"Lethbridge Kyodokan Judo Club"</f>
        <v>Lethbridge Kyodokan Judo Club</v>
      </c>
      <c r="D166" s="1" t="str">
        <f>"AB"</f>
        <v>AB</v>
      </c>
      <c r="E166" s="1" t="str">
        <f>"Alberta"</f>
        <v>Alberta</v>
      </c>
      <c r="F166" s="1" t="str">
        <f>"Hanako"</f>
        <v>Hanako</v>
      </c>
      <c r="G166" s="1" t="str">
        <f>"Kuno"</f>
        <v>Kuno</v>
      </c>
      <c r="H166" s="1" t="str">
        <f>"0147629"</f>
        <v>0147629</v>
      </c>
      <c r="I166" s="1" t="str">
        <f t="shared" si="19"/>
        <v>F</v>
      </c>
      <c r="J166" s="2">
        <v>1998</v>
      </c>
      <c r="K166" s="1" t="str">
        <f>"1D"</f>
        <v>1D</v>
      </c>
      <c r="L166" s="1" t="str">
        <f>"Senior"</f>
        <v>Senior</v>
      </c>
      <c r="M166" s="1" t="str">
        <f t="shared" si="20"/>
        <v>-63</v>
      </c>
      <c r="N166" s="1" t="str">
        <f>""</f>
        <v/>
      </c>
      <c r="O166" s="1">
        <v>1</v>
      </c>
      <c r="P166" s="1"/>
      <c r="Q166" t="s">
        <v>239</v>
      </c>
    </row>
    <row r="167" spans="1:17" x14ac:dyDescent="0.25">
      <c r="A167" t="str">
        <f>"2018-10-24 11:20:30"</f>
        <v>2018-10-24 11:20:30</v>
      </c>
      <c r="B167" s="1" t="str">
        <f>""</f>
        <v/>
      </c>
      <c r="C167" s="1" t="str">
        <f>"Club de judo Shidokan inc."</f>
        <v>Club de judo Shidokan inc.</v>
      </c>
      <c r="D167" s="1" t="str">
        <f>"QC"</f>
        <v>QC</v>
      </c>
      <c r="E167" s="1" t="str">
        <f>"Quebec"</f>
        <v>Quebec</v>
      </c>
      <c r="F167" s="1" t="str">
        <f>"Laurence"</f>
        <v>Laurence</v>
      </c>
      <c r="G167" s="1" t="str">
        <f>"Lafreniere-Rioux"</f>
        <v>Lafreniere-Rioux</v>
      </c>
      <c r="H167" s="1" t="str">
        <f>"0189049"</f>
        <v>0189049</v>
      </c>
      <c r="I167" s="1" t="str">
        <f t="shared" si="19"/>
        <v>F</v>
      </c>
      <c r="J167" s="2">
        <v>1998</v>
      </c>
      <c r="K167" s="1" t="str">
        <f>"1k"</f>
        <v>1k</v>
      </c>
      <c r="L167" s="1" t="str">
        <f>"Senior"</f>
        <v>Senior</v>
      </c>
      <c r="M167" s="1" t="str">
        <f t="shared" si="20"/>
        <v>-63</v>
      </c>
      <c r="N167" s="1" t="str">
        <f>""</f>
        <v/>
      </c>
      <c r="O167" s="1">
        <v>1</v>
      </c>
      <c r="P167" s="1"/>
      <c r="Q167" t="s">
        <v>239</v>
      </c>
    </row>
    <row r="168" spans="1:17" x14ac:dyDescent="0.25">
      <c r="A168" t="str">
        <f>"2018-10-21 11:36:12"</f>
        <v>2018-10-21 11:36:12</v>
      </c>
      <c r="B168" s="1" t="str">
        <f>""</f>
        <v/>
      </c>
      <c r="C168" s="1" t="str">
        <f>"Kiyokan Judo Club"</f>
        <v>Kiyokan Judo Club</v>
      </c>
      <c r="D168" s="1" t="str">
        <f>"NB"</f>
        <v>NB</v>
      </c>
      <c r="E168" s="1" t="str">
        <f>"New Brunswick"</f>
        <v>New Brunswick</v>
      </c>
      <c r="F168" s="1" t="str">
        <f>"Jennifer"</f>
        <v>Jennifer</v>
      </c>
      <c r="G168" s="1" t="str">
        <f>"Landry"</f>
        <v>Landry</v>
      </c>
      <c r="H168" s="1" t="str">
        <f>"0011616"</f>
        <v>0011616</v>
      </c>
      <c r="I168" s="1" t="str">
        <f t="shared" si="19"/>
        <v>F</v>
      </c>
      <c r="J168" s="2">
        <v>1984</v>
      </c>
      <c r="K168" s="1" t="str">
        <f>"2D"</f>
        <v>2D</v>
      </c>
      <c r="L168" s="1" t="str">
        <f>"Senior"</f>
        <v>Senior</v>
      </c>
      <c r="M168" s="1" t="str">
        <f t="shared" si="20"/>
        <v>-63</v>
      </c>
      <c r="N168" s="1" t="str">
        <f>""</f>
        <v/>
      </c>
      <c r="O168" s="1">
        <v>1</v>
      </c>
      <c r="P168" s="1"/>
      <c r="Q168" t="s">
        <v>239</v>
      </c>
    </row>
    <row r="169" spans="1:17" x14ac:dyDescent="0.25">
      <c r="A169" t="str">
        <f>"2018-10-25 11:11:23"</f>
        <v>2018-10-25 11:11:23</v>
      </c>
      <c r="B169" s="1" t="str">
        <f>""</f>
        <v/>
      </c>
      <c r="C169" s="1" t="str">
        <f>"Campbell River Judo Club"</f>
        <v>Campbell River Judo Club</v>
      </c>
      <c r="D169" s="1" t="str">
        <f>"BC"</f>
        <v>BC</v>
      </c>
      <c r="E169" s="1" t="str">
        <f>"British Columbia"</f>
        <v>British Columbia</v>
      </c>
      <c r="F169" s="1" t="str">
        <f>"Tianna"</f>
        <v>Tianna</v>
      </c>
      <c r="G169" s="1" t="str">
        <f>"Lund"</f>
        <v>Lund</v>
      </c>
      <c r="H169" s="1" t="str">
        <f>"0221397"</f>
        <v>0221397</v>
      </c>
      <c r="I169" s="1" t="str">
        <f t="shared" si="19"/>
        <v>F</v>
      </c>
      <c r="J169" s="2">
        <v>2003</v>
      </c>
      <c r="K169" s="1" t="str">
        <f>"2k"</f>
        <v>2k</v>
      </c>
      <c r="L169" s="1" t="s">
        <v>65</v>
      </c>
      <c r="M169" s="1" t="str">
        <f t="shared" si="20"/>
        <v>-63</v>
      </c>
      <c r="N169" s="1" t="str">
        <f>""</f>
        <v/>
      </c>
      <c r="O169" s="1">
        <v>2</v>
      </c>
      <c r="P169" s="1"/>
      <c r="Q169" t="s">
        <v>239</v>
      </c>
    </row>
    <row r="170" spans="1:17" x14ac:dyDescent="0.25">
      <c r="B170" s="9" t="str">
        <f>""</f>
        <v/>
      </c>
      <c r="C170" s="9" t="str">
        <f>"Campbell River Judo Club"</f>
        <v>Campbell River Judo Club</v>
      </c>
      <c r="D170" s="9" t="str">
        <f>"BC"</f>
        <v>BC</v>
      </c>
      <c r="E170" s="9" t="str">
        <f>"British Columbia"</f>
        <v>British Columbia</v>
      </c>
      <c r="F170" s="9" t="str">
        <f>"Tianna"</f>
        <v>Tianna</v>
      </c>
      <c r="G170" s="9" t="str">
        <f>"Lund"</f>
        <v>Lund</v>
      </c>
      <c r="H170" s="9" t="str">
        <f>"0221397"</f>
        <v>0221397</v>
      </c>
      <c r="I170" s="9" t="str">
        <f t="shared" si="19"/>
        <v>F</v>
      </c>
      <c r="J170" s="9">
        <v>2003</v>
      </c>
      <c r="K170" s="9" t="s">
        <v>80</v>
      </c>
      <c r="L170" s="9" t="s">
        <v>65</v>
      </c>
      <c r="M170" s="9" t="str">
        <f t="shared" si="20"/>
        <v>-63</v>
      </c>
      <c r="N170" s="9"/>
      <c r="O170" s="9">
        <v>2</v>
      </c>
      <c r="P170" s="9"/>
      <c r="Q170" t="s">
        <v>239</v>
      </c>
    </row>
    <row r="171" spans="1:17" x14ac:dyDescent="0.25">
      <c r="A171" t="str">
        <f>"2018-10-25 11:11:23"</f>
        <v>2018-10-25 11:11:23</v>
      </c>
      <c r="B171" s="1" t="str">
        <f>""</f>
        <v/>
      </c>
      <c r="C171" s="1" t="str">
        <f>"Hart Judo Academy"</f>
        <v>Hart Judo Academy</v>
      </c>
      <c r="D171" s="1" t="str">
        <f>"BC"</f>
        <v>BC</v>
      </c>
      <c r="E171" s="1" t="str">
        <f>"British Columbia"</f>
        <v>British Columbia</v>
      </c>
      <c r="F171" s="1" t="str">
        <f>"Tula"</f>
        <v>Tula</v>
      </c>
      <c r="G171" s="1" t="str">
        <f>"Moore"</f>
        <v>Moore</v>
      </c>
      <c r="H171" s="1" t="str">
        <f>"0174770"</f>
        <v>0174770</v>
      </c>
      <c r="I171" s="1" t="str">
        <f t="shared" si="19"/>
        <v>F</v>
      </c>
      <c r="J171" s="2">
        <v>2003</v>
      </c>
      <c r="K171" s="1" t="str">
        <f>"2k"</f>
        <v>2k</v>
      </c>
      <c r="L171" s="1" t="s">
        <v>65</v>
      </c>
      <c r="M171" s="1" t="str">
        <f t="shared" si="20"/>
        <v>-63</v>
      </c>
      <c r="N171" s="1" t="str">
        <f>""</f>
        <v/>
      </c>
      <c r="O171" s="1">
        <v>2</v>
      </c>
      <c r="P171" s="1"/>
      <c r="Q171" t="s">
        <v>239</v>
      </c>
    </row>
    <row r="172" spans="1:17" x14ac:dyDescent="0.25">
      <c r="A172" t="str">
        <f>"2018-10-21 13:01:11"</f>
        <v>2018-10-21 13:01:11</v>
      </c>
      <c r="B172" s="1" t="str">
        <f>"2018-10-25 12:39:23"</f>
        <v>2018-10-25 12:39:23</v>
      </c>
      <c r="C172" s="1" t="s">
        <v>240</v>
      </c>
      <c r="D172" s="1" t="str">
        <f>"QC"</f>
        <v>QC</v>
      </c>
      <c r="E172" s="1" t="str">
        <f>"Quebec"</f>
        <v>Quebec</v>
      </c>
      <c r="F172" s="1" t="str">
        <f>"Ilhem"</f>
        <v>Ilhem</v>
      </c>
      <c r="G172" s="1" t="str">
        <f>"Ouali"</f>
        <v>Ouali</v>
      </c>
      <c r="H172" s="1" t="str">
        <f>"0145627"</f>
        <v>0145627</v>
      </c>
      <c r="I172" s="1" t="str">
        <f t="shared" si="19"/>
        <v>F</v>
      </c>
      <c r="J172" s="2">
        <v>2001</v>
      </c>
      <c r="K172" s="1" t="str">
        <f>"1D"</f>
        <v>1D</v>
      </c>
      <c r="L172" s="1" t="s">
        <v>65</v>
      </c>
      <c r="M172" s="1" t="str">
        <f t="shared" si="20"/>
        <v>-63</v>
      </c>
      <c r="N172" s="1" t="str">
        <f>""</f>
        <v/>
      </c>
      <c r="O172" s="1">
        <v>2</v>
      </c>
      <c r="P172" s="1"/>
      <c r="Q172" t="s">
        <v>239</v>
      </c>
    </row>
    <row r="173" spans="1:17" x14ac:dyDescent="0.25">
      <c r="A173" t="str">
        <f>"2018-10-21 12:28:44"</f>
        <v>2018-10-21 12:28:44</v>
      </c>
      <c r="B173" s="1" t="str">
        <f>""</f>
        <v/>
      </c>
      <c r="C173" s="1" t="str">
        <f>"Kiseki Judo"</f>
        <v>Kiseki Judo</v>
      </c>
      <c r="D173" s="1" t="str">
        <f>"QC"</f>
        <v>QC</v>
      </c>
      <c r="E173" s="1" t="str">
        <f>"Quebec"</f>
        <v>Quebec</v>
      </c>
      <c r="F173" s="1" t="str">
        <f>"Jasmine"</f>
        <v>Jasmine</v>
      </c>
      <c r="G173" s="1" t="str">
        <f>"Pitsilis"</f>
        <v>Pitsilis</v>
      </c>
      <c r="H173" s="1" t="str">
        <f>"0094096"</f>
        <v>0094096</v>
      </c>
      <c r="I173" s="1" t="str">
        <f t="shared" si="19"/>
        <v>F</v>
      </c>
      <c r="J173" s="2">
        <v>1997</v>
      </c>
      <c r="K173" s="1" t="str">
        <f>"1D"</f>
        <v>1D</v>
      </c>
      <c r="L173" s="1" t="str">
        <f>"Senior"</f>
        <v>Senior</v>
      </c>
      <c r="M173" s="1" t="str">
        <f t="shared" si="20"/>
        <v>-63</v>
      </c>
      <c r="N173" s="1" t="str">
        <f>""</f>
        <v/>
      </c>
      <c r="O173" s="1">
        <v>1</v>
      </c>
      <c r="P173" s="1"/>
      <c r="Q173" t="s">
        <v>239</v>
      </c>
    </row>
    <row r="174" spans="1:17" x14ac:dyDescent="0.25">
      <c r="A174" t="str">
        <f>"2018-10-25 11:11:23"</f>
        <v>2018-10-25 11:11:23</v>
      </c>
      <c r="B174" s="1" t="str">
        <f>""</f>
        <v/>
      </c>
      <c r="C174" s="1" t="str">
        <f>"Hiro's Judo Club"</f>
        <v>Hiro's Judo Club</v>
      </c>
      <c r="D174" s="1" t="str">
        <f>"AB"</f>
        <v>AB</v>
      </c>
      <c r="E174" s="1" t="str">
        <f>"Alberta"</f>
        <v>Alberta</v>
      </c>
      <c r="F174" s="1" t="str">
        <f>"Teyana"</f>
        <v>Teyana</v>
      </c>
      <c r="G174" s="1" t="str">
        <f>"Roberts"</f>
        <v>Roberts</v>
      </c>
      <c r="H174" s="1" t="str">
        <f>"0227442"</f>
        <v>0227442</v>
      </c>
      <c r="I174" s="1" t="str">
        <f t="shared" si="19"/>
        <v>F</v>
      </c>
      <c r="J174" s="2">
        <v>2003</v>
      </c>
      <c r="K174" s="1" t="str">
        <f>"2k"</f>
        <v>2k</v>
      </c>
      <c r="L174" s="1" t="s">
        <v>65</v>
      </c>
      <c r="M174" s="1" t="str">
        <f t="shared" si="20"/>
        <v>-63</v>
      </c>
      <c r="N174" s="1" t="str">
        <f>""</f>
        <v/>
      </c>
      <c r="O174" s="1">
        <v>2</v>
      </c>
      <c r="P174" s="1"/>
      <c r="Q174" t="s">
        <v>239</v>
      </c>
    </row>
    <row r="175" spans="1:17" x14ac:dyDescent="0.25">
      <c r="A175" t="str">
        <f>"2018-10-21 13:01:11"</f>
        <v>2018-10-21 13:01:11</v>
      </c>
      <c r="B175" s="1" t="str">
        <f>"2018-10-22 13:40:00"</f>
        <v>2018-10-22 13:40:00</v>
      </c>
      <c r="C175" s="1" t="str">
        <f>"Club de judo St-Jean Bosco de Hull"</f>
        <v>Club de judo St-Jean Bosco de Hull</v>
      </c>
      <c r="D175" s="1" t="str">
        <f>"QC"</f>
        <v>QC</v>
      </c>
      <c r="E175" s="1" t="str">
        <f>"Quebec"</f>
        <v>Quebec</v>
      </c>
      <c r="F175" s="1" t="str">
        <f>"Marianne"</f>
        <v>Marianne</v>
      </c>
      <c r="G175" s="1" t="str">
        <f>"Roux"</f>
        <v>Roux</v>
      </c>
      <c r="H175" s="1" t="str">
        <f>"0197470"</f>
        <v>0197470</v>
      </c>
      <c r="I175" s="1" t="str">
        <f t="shared" si="19"/>
        <v>F</v>
      </c>
      <c r="J175" s="2">
        <v>2002</v>
      </c>
      <c r="K175" s="1" t="str">
        <f>"1D"</f>
        <v>1D</v>
      </c>
      <c r="L175" s="1" t="s">
        <v>65</v>
      </c>
      <c r="M175" s="1" t="str">
        <f t="shared" si="20"/>
        <v>-63</v>
      </c>
      <c r="N175" s="1" t="str">
        <f>""</f>
        <v/>
      </c>
      <c r="O175" s="1">
        <v>2</v>
      </c>
      <c r="P175" s="1"/>
      <c r="Q175" t="s">
        <v>239</v>
      </c>
    </row>
    <row r="176" spans="1:17" x14ac:dyDescent="0.25">
      <c r="A176" t="str">
        <f>"2018-10-21 13:01:11"</f>
        <v>2018-10-21 13:01:11</v>
      </c>
      <c r="B176" s="1" t="str">
        <f>""</f>
        <v/>
      </c>
      <c r="C176" s="1" t="str">
        <f>"Non-Affiliated"</f>
        <v>Non-Affiliated</v>
      </c>
      <c r="D176" s="1" t="s">
        <v>106</v>
      </c>
      <c r="E176" s="1" t="str">
        <f>"United States"</f>
        <v>United States</v>
      </c>
      <c r="F176" s="1" t="str">
        <f>"Abigail"</f>
        <v>Abigail</v>
      </c>
      <c r="G176" s="1" t="str">
        <f>"Sigurdson"</f>
        <v>Sigurdson</v>
      </c>
      <c r="H176" s="1" t="str">
        <f>"AutreFederation"</f>
        <v>AutreFederation</v>
      </c>
      <c r="I176" s="1" t="str">
        <f t="shared" si="19"/>
        <v>F</v>
      </c>
      <c r="J176" s="2">
        <v>1998</v>
      </c>
      <c r="K176" s="1" t="str">
        <f>"1D"</f>
        <v>1D</v>
      </c>
      <c r="L176" s="1" t="str">
        <f>"Senior"</f>
        <v>Senior</v>
      </c>
      <c r="M176" s="1" t="str">
        <f t="shared" si="20"/>
        <v>-63</v>
      </c>
      <c r="N176" s="1" t="str">
        <f>""</f>
        <v/>
      </c>
      <c r="O176" s="1">
        <v>1</v>
      </c>
      <c r="P176" s="1"/>
      <c r="Q176" t="s">
        <v>239</v>
      </c>
    </row>
    <row r="177" spans="1:17" x14ac:dyDescent="0.25">
      <c r="A177" t="str">
        <f>"2018-10-25 17:41:07"</f>
        <v>2018-10-25 17:41:07</v>
      </c>
      <c r="B177" s="1" t="str">
        <f>"2018-10-25 14:39:59"</f>
        <v>2018-10-25 14:39:59</v>
      </c>
      <c r="C177" s="1" t="str">
        <f>"Nakamura Judo Club"</f>
        <v>Nakamura Judo Club</v>
      </c>
      <c r="D177" s="1" t="str">
        <f>"MB"</f>
        <v>MB</v>
      </c>
      <c r="E177" s="1" t="str">
        <f>"Manitoba"</f>
        <v>Manitoba</v>
      </c>
      <c r="F177" s="1" t="str">
        <f>"Sasha"</f>
        <v>Sasha</v>
      </c>
      <c r="G177" s="1" t="str">
        <f>"Zigic"</f>
        <v>Zigic</v>
      </c>
      <c r="H177" s="1" t="str">
        <f>"0213404"</f>
        <v>0213404</v>
      </c>
      <c r="I177" s="1" t="str">
        <f t="shared" si="19"/>
        <v>F</v>
      </c>
      <c r="J177" s="2">
        <v>2000</v>
      </c>
      <c r="K177" s="1" t="str">
        <f>"1k"</f>
        <v>1k</v>
      </c>
      <c r="L177" s="1" t="s">
        <v>65</v>
      </c>
      <c r="M177" s="1" t="str">
        <f t="shared" si="20"/>
        <v>-63</v>
      </c>
      <c r="N177" s="1" t="str">
        <f>""</f>
        <v/>
      </c>
      <c r="O177" s="1">
        <v>2</v>
      </c>
      <c r="P177" s="1"/>
      <c r="Q177" t="s">
        <v>239</v>
      </c>
    </row>
    <row r="178" spans="1:17" x14ac:dyDescent="0.25">
      <c r="A178" t="str">
        <f>"2018-10-18 13:09:52"</f>
        <v>2018-10-18 13:09:52</v>
      </c>
      <c r="B178" s="1" t="str">
        <f>""</f>
        <v/>
      </c>
      <c r="C178" s="1" t="str">
        <f>"Club de judo Saint-Hyacinthe Inc."</f>
        <v>Club de judo Saint-Hyacinthe Inc.</v>
      </c>
      <c r="D178" s="1" t="str">
        <f>"QC"</f>
        <v>QC</v>
      </c>
      <c r="E178" s="1" t="str">
        <f>"Quebec"</f>
        <v>Quebec</v>
      </c>
      <c r="F178" s="1" t="str">
        <f>"Félix"</f>
        <v>Félix</v>
      </c>
      <c r="G178" s="1" t="str">
        <f>"Archambault"</f>
        <v>Archambault</v>
      </c>
      <c r="H178" s="1" t="str">
        <f>"0161072"</f>
        <v>0161072</v>
      </c>
      <c r="I178" s="1" t="str">
        <f t="shared" ref="I178:I209" si="21">"M"</f>
        <v>M</v>
      </c>
      <c r="J178" s="2">
        <v>2002</v>
      </c>
      <c r="K178" s="1" t="str">
        <f>"1k"</f>
        <v>1k</v>
      </c>
      <c r="L178" s="1" t="s">
        <v>65</v>
      </c>
      <c r="M178" s="1" t="str">
        <f t="shared" ref="M178:M209" si="22">"-66"</f>
        <v>-66</v>
      </c>
      <c r="N178" s="1" t="str">
        <f>""</f>
        <v/>
      </c>
      <c r="O178" s="1">
        <v>2</v>
      </c>
      <c r="P178" s="1"/>
      <c r="Q178" t="s">
        <v>241</v>
      </c>
    </row>
    <row r="179" spans="1:17" x14ac:dyDescent="0.25">
      <c r="A179" t="str">
        <f>"2018-10-21 13:55:50"</f>
        <v>2018-10-21 13:55:50</v>
      </c>
      <c r="B179" s="1" t="str">
        <f>""</f>
        <v/>
      </c>
      <c r="C179" s="1" t="str">
        <f>"Burnaby Judo Club"</f>
        <v>Burnaby Judo Club</v>
      </c>
      <c r="D179" s="1" t="str">
        <f>"BC"</f>
        <v>BC</v>
      </c>
      <c r="E179" s="1" t="str">
        <f>"British Columbia"</f>
        <v>British Columbia</v>
      </c>
      <c r="F179" s="1" t="str">
        <f>"Amirhossein"</f>
        <v>Amirhossein</v>
      </c>
      <c r="G179" s="1" t="str">
        <f>"Barati"</f>
        <v>Barati</v>
      </c>
      <c r="H179" s="1" t="str">
        <f>"0407866"</f>
        <v>0407866</v>
      </c>
      <c r="I179" s="1" t="str">
        <f t="shared" si="21"/>
        <v>M</v>
      </c>
      <c r="J179" s="2">
        <v>2001</v>
      </c>
      <c r="K179" s="1" t="str">
        <f>"1D"</f>
        <v>1D</v>
      </c>
      <c r="L179" s="1" t="s">
        <v>65</v>
      </c>
      <c r="M179" s="1" t="str">
        <f t="shared" si="22"/>
        <v>-66</v>
      </c>
      <c r="N179" s="1" t="str">
        <f>""</f>
        <v/>
      </c>
      <c r="O179" s="1">
        <v>2</v>
      </c>
      <c r="P179" s="1"/>
      <c r="Q179" t="s">
        <v>241</v>
      </c>
    </row>
    <row r="180" spans="1:17" x14ac:dyDescent="0.25">
      <c r="A180" t="str">
        <f>"2018-10-21 11:36:12"</f>
        <v>2018-10-21 11:36:12</v>
      </c>
      <c r="B180" s="1" t="str">
        <f>""</f>
        <v/>
      </c>
      <c r="C180" s="1" t="str">
        <f>"Jason Morris Judo Center"</f>
        <v>Jason Morris Judo Center</v>
      </c>
      <c r="D180" s="1" t="s">
        <v>106</v>
      </c>
      <c r="E180" s="1" t="str">
        <f>"Georgia"</f>
        <v>Georgia</v>
      </c>
      <c r="F180" s="1" t="str">
        <f>"Ari"</f>
        <v>Ari</v>
      </c>
      <c r="G180" s="1" t="str">
        <f>"Berliner"</f>
        <v>Berliner</v>
      </c>
      <c r="H180" s="1" t="str">
        <f>"AutreFederation"</f>
        <v>AutreFederation</v>
      </c>
      <c r="I180" s="1" t="str">
        <f t="shared" si="21"/>
        <v>M</v>
      </c>
      <c r="J180" s="2">
        <v>1998</v>
      </c>
      <c r="K180" s="1" t="str">
        <f>"1D"</f>
        <v>1D</v>
      </c>
      <c r="L180" s="1" t="s">
        <v>65</v>
      </c>
      <c r="M180" s="1" t="str">
        <f t="shared" si="22"/>
        <v>-66</v>
      </c>
      <c r="N180" s="1" t="str">
        <f>"66kg"</f>
        <v>66kg</v>
      </c>
      <c r="O180" s="1">
        <v>2</v>
      </c>
      <c r="P180" s="1"/>
      <c r="Q180" t="s">
        <v>241</v>
      </c>
    </row>
    <row r="181" spans="1:17" x14ac:dyDescent="0.25">
      <c r="A181" t="str">
        <f>"2018-10-21 13:01:11"</f>
        <v>2018-10-21 13:01:11</v>
      </c>
      <c r="B181" s="1" t="str">
        <f>""</f>
        <v/>
      </c>
      <c r="C181" s="1" t="str">
        <f>"Itc Budokan"</f>
        <v>Itc Budokan</v>
      </c>
      <c r="D181" s="1" t="str">
        <f>"QC"</f>
        <v>QC</v>
      </c>
      <c r="E181" s="1" t="str">
        <f>"Quebec"</f>
        <v>Quebec</v>
      </c>
      <c r="F181" s="1" t="str">
        <f>"Cedric"</f>
        <v>Cedric</v>
      </c>
      <c r="G181" s="1" t="str">
        <f>"Biancheri"</f>
        <v>Biancheri</v>
      </c>
      <c r="H181" s="1" t="str">
        <f>"0205710"</f>
        <v>0205710</v>
      </c>
      <c r="I181" s="1" t="str">
        <f t="shared" si="21"/>
        <v>M</v>
      </c>
      <c r="J181" s="2">
        <v>1992</v>
      </c>
      <c r="K181" s="1" t="str">
        <f>"1k"</f>
        <v>1k</v>
      </c>
      <c r="L181" s="1" t="str">
        <f>"Senior"</f>
        <v>Senior</v>
      </c>
      <c r="M181" s="1" t="str">
        <f t="shared" si="22"/>
        <v>-66</v>
      </c>
      <c r="N181" s="1" t="str">
        <f>""</f>
        <v/>
      </c>
      <c r="O181" s="1">
        <v>1</v>
      </c>
      <c r="P181" s="1"/>
      <c r="Q181" t="s">
        <v>241</v>
      </c>
    </row>
    <row r="182" spans="1:17" x14ac:dyDescent="0.25">
      <c r="A182" t="str">
        <f>"2018-10-21 13:55:50"</f>
        <v>2018-10-21 13:55:50</v>
      </c>
      <c r="B182" s="1" t="str">
        <f>""</f>
        <v/>
      </c>
      <c r="C182" s="1" t="str">
        <f>"Sejel/Cotia"</f>
        <v>Sejel/Cotia</v>
      </c>
      <c r="D182" s="1" t="s">
        <v>164</v>
      </c>
      <c r="E182" s="1" t="str">
        <f>"Brazil"</f>
        <v>Brazil</v>
      </c>
      <c r="F182" s="1" t="str">
        <f>"Diego"</f>
        <v>Diego</v>
      </c>
      <c r="G182" s="1" t="str">
        <f>"Biriba"</f>
        <v>Biriba</v>
      </c>
      <c r="H182" s="1" t="str">
        <f>"AutreFederation"</f>
        <v>AutreFederation</v>
      </c>
      <c r="I182" s="1" t="str">
        <f t="shared" si="21"/>
        <v>M</v>
      </c>
      <c r="J182" s="2">
        <v>1983</v>
      </c>
      <c r="K182" s="1" t="str">
        <f>"1D"</f>
        <v>1D</v>
      </c>
      <c r="L182" s="1" t="s">
        <v>65</v>
      </c>
      <c r="M182" s="1" t="str">
        <f t="shared" si="22"/>
        <v>-66</v>
      </c>
      <c r="N182" s="1" t="str">
        <f>""</f>
        <v/>
      </c>
      <c r="O182" s="1">
        <v>2</v>
      </c>
      <c r="P182" s="1"/>
      <c r="Q182" t="s">
        <v>241</v>
      </c>
    </row>
    <row r="183" spans="1:17" x14ac:dyDescent="0.25">
      <c r="A183" t="str">
        <f>"2018-10-21 12:28:44"</f>
        <v>2018-10-21 12:28:44</v>
      </c>
      <c r="B183" s="1" t="str">
        <f>""</f>
        <v/>
      </c>
      <c r="C183" s="1" t="str">
        <f>"Action and Reaction MMA"</f>
        <v>Action and Reaction MMA</v>
      </c>
      <c r="D183" s="1" t="str">
        <f>"ON"</f>
        <v>ON</v>
      </c>
      <c r="E183" s="1" t="str">
        <f>"Ontario"</f>
        <v>Ontario</v>
      </c>
      <c r="F183" s="1" t="str">
        <f>"Dontae"</f>
        <v>Dontae</v>
      </c>
      <c r="G183" s="1" t="str">
        <f>"De Jesus"</f>
        <v>De Jesus</v>
      </c>
      <c r="H183" s="1" t="str">
        <f>"0139910"</f>
        <v>0139910</v>
      </c>
      <c r="I183" s="1" t="str">
        <f t="shared" si="21"/>
        <v>M</v>
      </c>
      <c r="J183" s="2">
        <v>2000</v>
      </c>
      <c r="K183" s="1" t="str">
        <f>"1k"</f>
        <v>1k</v>
      </c>
      <c r="L183" s="1" t="s">
        <v>65</v>
      </c>
      <c r="M183" s="1" t="str">
        <f t="shared" si="22"/>
        <v>-66</v>
      </c>
      <c r="N183" s="1" t="str">
        <f>""</f>
        <v/>
      </c>
      <c r="O183" s="1">
        <v>2</v>
      </c>
      <c r="P183" s="1"/>
      <c r="Q183" t="s">
        <v>241</v>
      </c>
    </row>
    <row r="184" spans="1:17" x14ac:dyDescent="0.25">
      <c r="A184" t="str">
        <f>"2018-10-21 13:01:11"</f>
        <v>2018-10-21 13:01:11</v>
      </c>
      <c r="B184" s="1" t="str">
        <f>""</f>
        <v/>
      </c>
      <c r="C184" s="1" t="str">
        <f>"Lethbridge Kyodokan Judo Club"</f>
        <v>Lethbridge Kyodokan Judo Club</v>
      </c>
      <c r="D184" s="1" t="str">
        <f>"AB"</f>
        <v>AB</v>
      </c>
      <c r="E184" s="1" t="str">
        <f>"Alberta"</f>
        <v>Alberta</v>
      </c>
      <c r="F184" s="1" t="str">
        <f>"Nathan"</f>
        <v>Nathan</v>
      </c>
      <c r="G184" s="1" t="str">
        <f>"Demaere"</f>
        <v>Demaere</v>
      </c>
      <c r="H184" s="1" t="str">
        <f>"1772775"</f>
        <v>1772775</v>
      </c>
      <c r="I184" s="1" t="str">
        <f t="shared" si="21"/>
        <v>M</v>
      </c>
      <c r="J184" s="2">
        <v>2003</v>
      </c>
      <c r="K184" s="1" t="str">
        <f>"1k"</f>
        <v>1k</v>
      </c>
      <c r="L184" s="1" t="s">
        <v>65</v>
      </c>
      <c r="M184" s="1" t="str">
        <f t="shared" si="22"/>
        <v>-66</v>
      </c>
      <c r="N184" s="1" t="str">
        <f>"u66kg"</f>
        <v>u66kg</v>
      </c>
      <c r="O184" s="1">
        <v>2</v>
      </c>
      <c r="P184" s="1"/>
      <c r="Q184" t="s">
        <v>241</v>
      </c>
    </row>
    <row r="185" spans="1:17" x14ac:dyDescent="0.25">
      <c r="A185" t="str">
        <f>"2018-10-18 13:09:52"</f>
        <v>2018-10-18 13:09:52</v>
      </c>
      <c r="B185" s="1" t="str">
        <f>""</f>
        <v/>
      </c>
      <c r="C185" s="1" t="str">
        <f>"Centre Budo Kwai Quebec Inc"</f>
        <v>Centre Budo Kwai Quebec Inc</v>
      </c>
      <c r="D185" s="1" t="str">
        <f>"QC"</f>
        <v>QC</v>
      </c>
      <c r="E185" s="1" t="str">
        <f>"Quebec"</f>
        <v>Quebec</v>
      </c>
      <c r="F185" s="1" t="str">
        <f>"Julien"</f>
        <v>Julien</v>
      </c>
      <c r="G185" s="1" t="str">
        <f>"Frascadore"</f>
        <v>Frascadore</v>
      </c>
      <c r="H185" s="1" t="str">
        <f>"0103061"</f>
        <v>0103061</v>
      </c>
      <c r="I185" s="1" t="str">
        <f t="shared" si="21"/>
        <v>M</v>
      </c>
      <c r="J185" s="2">
        <v>1999</v>
      </c>
      <c r="K185" s="1" t="str">
        <f>"2D"</f>
        <v>2D</v>
      </c>
      <c r="L185" s="1" t="s">
        <v>65</v>
      </c>
      <c r="M185" s="1" t="str">
        <f t="shared" si="22"/>
        <v>-66</v>
      </c>
      <c r="N185" s="1" t="str">
        <f>""</f>
        <v/>
      </c>
      <c r="O185" s="1">
        <v>2</v>
      </c>
      <c r="P185" s="1"/>
      <c r="Q185" t="s">
        <v>241</v>
      </c>
    </row>
    <row r="186" spans="1:17" x14ac:dyDescent="0.25">
      <c r="A186" t="str">
        <f>"2018-10-21 13:55:50"</f>
        <v>2018-10-21 13:55:50</v>
      </c>
      <c r="B186" s="1" t="str">
        <f>""</f>
        <v/>
      </c>
      <c r="C186" s="1" t="str">
        <f>"Hart Judo Academy"</f>
        <v>Hart Judo Academy</v>
      </c>
      <c r="D186" s="1" t="str">
        <f>"BC"</f>
        <v>BC</v>
      </c>
      <c r="E186" s="1" t="str">
        <f>"British Columbia"</f>
        <v>British Columbia</v>
      </c>
      <c r="F186" s="1" t="str">
        <f>"Davin"</f>
        <v>Davin</v>
      </c>
      <c r="G186" s="1" t="str">
        <f>"Greenwood"</f>
        <v>Greenwood</v>
      </c>
      <c r="H186" s="1" t="str">
        <f>"0193537"</f>
        <v>0193537</v>
      </c>
      <c r="I186" s="1" t="str">
        <f t="shared" si="21"/>
        <v>M</v>
      </c>
      <c r="J186" s="2">
        <v>2001</v>
      </c>
      <c r="K186" s="1" t="str">
        <f>"1k"</f>
        <v>1k</v>
      </c>
      <c r="L186" s="1" t="s">
        <v>65</v>
      </c>
      <c r="M186" s="1" t="str">
        <f t="shared" si="22"/>
        <v>-66</v>
      </c>
      <c r="N186" s="1" t="str">
        <f>""</f>
        <v/>
      </c>
      <c r="O186" s="1">
        <v>2</v>
      </c>
      <c r="P186" s="1"/>
      <c r="Q186" t="s">
        <v>241</v>
      </c>
    </row>
    <row r="187" spans="1:17" x14ac:dyDescent="0.25">
      <c r="A187" t="str">
        <f>"2018-10-21 13:01:11"</f>
        <v>2018-10-21 13:01:11</v>
      </c>
      <c r="B187" s="1" t="str">
        <f>""</f>
        <v/>
      </c>
      <c r="C187" s="1" t="str">
        <f>"Ki-itsu-sai National Training Center"</f>
        <v>Ki-itsu-sai National Training Center</v>
      </c>
      <c r="D187" s="1" t="s">
        <v>106</v>
      </c>
      <c r="E187" s="1" t="str">
        <f>"Mississippi"</f>
        <v>Mississippi</v>
      </c>
      <c r="F187" s="1" t="str">
        <f>"Mitchell"</f>
        <v>Mitchell</v>
      </c>
      <c r="G187" s="1" t="str">
        <f>"Greer"</f>
        <v>Greer</v>
      </c>
      <c r="H187" s="1" t="str">
        <f>"AutreFederation"</f>
        <v>AutreFederation</v>
      </c>
      <c r="I187" s="1" t="str">
        <f t="shared" si="21"/>
        <v>M</v>
      </c>
      <c r="J187" s="2">
        <v>2001</v>
      </c>
      <c r="K187" s="1" t="str">
        <f>"1D"</f>
        <v>1D</v>
      </c>
      <c r="L187" s="1" t="s">
        <v>65</v>
      </c>
      <c r="M187" s="1" t="str">
        <f t="shared" si="22"/>
        <v>-66</v>
      </c>
      <c r="N187" s="1" t="str">
        <f>""</f>
        <v/>
      </c>
      <c r="O187" s="1">
        <v>2</v>
      </c>
      <c r="P187" s="1"/>
      <c r="Q187" t="s">
        <v>241</v>
      </c>
    </row>
    <row r="188" spans="1:17" x14ac:dyDescent="0.25">
      <c r="A188" t="str">
        <f>"2018-10-15 17:37:32"</f>
        <v>2018-10-15 17:37:32</v>
      </c>
      <c r="B188" s="1" t="str">
        <f>""</f>
        <v/>
      </c>
      <c r="C188" s="1" t="str">
        <f>"Club de judo St-Paul l'Ermite"</f>
        <v>Club de judo St-Paul l'Ermite</v>
      </c>
      <c r="D188" s="1" t="str">
        <f>"QC"</f>
        <v>QC</v>
      </c>
      <c r="E188" s="1" t="str">
        <f>"Quebec"</f>
        <v>Quebec</v>
      </c>
      <c r="F188" s="1" t="str">
        <f>"Yanis"</f>
        <v>Yanis</v>
      </c>
      <c r="G188" s="1" t="str">
        <f>"Hachemi"</f>
        <v>Hachemi</v>
      </c>
      <c r="H188" s="1" t="str">
        <f>"0155216"</f>
        <v>0155216</v>
      </c>
      <c r="I188" s="1" t="str">
        <f t="shared" si="21"/>
        <v>M</v>
      </c>
      <c r="J188" s="2">
        <v>2002</v>
      </c>
      <c r="K188" s="1" t="str">
        <f>"1k"</f>
        <v>1k</v>
      </c>
      <c r="L188" s="1" t="s">
        <v>65</v>
      </c>
      <c r="M188" s="1" t="str">
        <f t="shared" si="22"/>
        <v>-66</v>
      </c>
      <c r="N188" s="1" t="str">
        <f>""</f>
        <v/>
      </c>
      <c r="O188" s="1">
        <v>2</v>
      </c>
      <c r="P188" s="1"/>
      <c r="Q188" t="s">
        <v>241</v>
      </c>
    </row>
    <row r="189" spans="1:17" x14ac:dyDescent="0.25">
      <c r="A189" t="str">
        <f>"2018-10-03 13:35:52"</f>
        <v>2018-10-03 13:35:52</v>
      </c>
      <c r="B189" s="1" t="str">
        <f>""</f>
        <v/>
      </c>
      <c r="C189" s="1" t="str">
        <f>"Club de judo Shidokan inc."</f>
        <v>Club de judo Shidokan inc.</v>
      </c>
      <c r="D189" s="1" t="str">
        <f>"QC"</f>
        <v>QC</v>
      </c>
      <c r="E189" s="1" t="str">
        <f>"Quebec"</f>
        <v>Quebec</v>
      </c>
      <c r="F189" s="1" t="str">
        <f>"Noah"</f>
        <v>Noah</v>
      </c>
      <c r="G189" s="1" t="str">
        <f>"Haitas"</f>
        <v>Haitas</v>
      </c>
      <c r="H189" s="1" t="str">
        <f>"0154724"</f>
        <v>0154724</v>
      </c>
      <c r="I189" s="1" t="str">
        <f t="shared" si="21"/>
        <v>M</v>
      </c>
      <c r="J189" s="2">
        <v>2002</v>
      </c>
      <c r="K189" s="1" t="str">
        <f>"1k"</f>
        <v>1k</v>
      </c>
      <c r="L189" s="1" t="s">
        <v>65</v>
      </c>
      <c r="M189" s="1" t="str">
        <f t="shared" si="22"/>
        <v>-66</v>
      </c>
      <c r="N189" s="1" t="str">
        <f>"-66"</f>
        <v>-66</v>
      </c>
      <c r="O189" s="1">
        <v>2</v>
      </c>
      <c r="P189" s="1"/>
      <c r="Q189" t="s">
        <v>241</v>
      </c>
    </row>
    <row r="190" spans="1:17" x14ac:dyDescent="0.25">
      <c r="A190" t="str">
        <f>"2018-10-21 13:01:11"</f>
        <v>2018-10-21 13:01:11</v>
      </c>
      <c r="B190" s="1" t="str">
        <f>""</f>
        <v/>
      </c>
      <c r="C190" s="1" t="str">
        <f>"Hart Judo Academy"</f>
        <v>Hart Judo Academy</v>
      </c>
      <c r="D190" s="1" t="str">
        <f>"BC"</f>
        <v>BC</v>
      </c>
      <c r="E190" s="1" t="str">
        <f>"British Columbia"</f>
        <v>British Columbia</v>
      </c>
      <c r="F190" s="1" t="str">
        <f>"Koen"</f>
        <v>Koen</v>
      </c>
      <c r="G190" s="1" t="str">
        <f>"Heitman"</f>
        <v>Heitman</v>
      </c>
      <c r="H190" s="1" t="str">
        <f>"0163506"</f>
        <v>0163506</v>
      </c>
      <c r="I190" s="1" t="str">
        <f t="shared" si="21"/>
        <v>M</v>
      </c>
      <c r="J190" s="2">
        <v>2002</v>
      </c>
      <c r="K190" s="1" t="str">
        <f>"1k"</f>
        <v>1k</v>
      </c>
      <c r="L190" s="1" t="s">
        <v>65</v>
      </c>
      <c r="M190" s="1" t="str">
        <f t="shared" si="22"/>
        <v>-66</v>
      </c>
      <c r="N190" s="1" t="str">
        <f>""</f>
        <v/>
      </c>
      <c r="O190" s="1">
        <v>2</v>
      </c>
      <c r="P190" s="1"/>
      <c r="Q190" t="s">
        <v>241</v>
      </c>
    </row>
    <row r="191" spans="1:17" x14ac:dyDescent="0.25">
      <c r="A191" t="str">
        <f>"2018-10-21 12:28:44"</f>
        <v>2018-10-21 12:28:44</v>
      </c>
      <c r="B191" s="1" t="str">
        <f>""</f>
        <v/>
      </c>
      <c r="C191" s="1" t="str">
        <f>"Police Judo Junior"</f>
        <v>Police Judo Junior</v>
      </c>
      <c r="D191" s="1" t="str">
        <f>"BC"</f>
        <v>BC</v>
      </c>
      <c r="E191" s="1" t="str">
        <f>"British Columbia"</f>
        <v>British Columbia</v>
      </c>
      <c r="F191" s="1" t="str">
        <f>"Howie"</f>
        <v>Howie</v>
      </c>
      <c r="G191" s="1" t="str">
        <f>"Hoang"</f>
        <v>Hoang</v>
      </c>
      <c r="H191" s="1" t="str">
        <f>"0232876"</f>
        <v>0232876</v>
      </c>
      <c r="I191" s="1" t="str">
        <f t="shared" si="21"/>
        <v>M</v>
      </c>
      <c r="J191" s="2">
        <v>1997</v>
      </c>
      <c r="K191" s="1" t="str">
        <f>"1k"</f>
        <v>1k</v>
      </c>
      <c r="L191" s="1" t="str">
        <f>"Senior"</f>
        <v>Senior</v>
      </c>
      <c r="M191" s="1" t="str">
        <f t="shared" si="22"/>
        <v>-66</v>
      </c>
      <c r="N191" s="1" t="str">
        <f>""</f>
        <v/>
      </c>
      <c r="O191" s="1">
        <v>1</v>
      </c>
      <c r="P191" s="1"/>
      <c r="Q191" t="s">
        <v>241</v>
      </c>
    </row>
    <row r="192" spans="1:17" x14ac:dyDescent="0.25">
      <c r="A192" t="str">
        <f>"2018-10-21 22:35:40"</f>
        <v>2018-10-21 22:35:40</v>
      </c>
      <c r="B192" s="1" t="str">
        <f>""</f>
        <v/>
      </c>
      <c r="C192" s="1" t="str">
        <f>"Club de judo Métropolitain inc."</f>
        <v>Club de judo Métropolitain inc.</v>
      </c>
      <c r="D192" s="1" t="str">
        <f>"QC"</f>
        <v>QC</v>
      </c>
      <c r="E192" s="1" t="str">
        <f>"Quebec"</f>
        <v>Quebec</v>
      </c>
      <c r="F192" s="1" t="str">
        <f>"Justin"</f>
        <v>Justin</v>
      </c>
      <c r="G192" s="1" t="str">
        <f>"Lemire"</f>
        <v>Lemire</v>
      </c>
      <c r="H192" s="1" t="str">
        <f>"0143882"</f>
        <v>0143882</v>
      </c>
      <c r="I192" s="1" t="str">
        <f t="shared" si="21"/>
        <v>M</v>
      </c>
      <c r="J192" s="2">
        <v>2001</v>
      </c>
      <c r="K192" s="1" t="str">
        <f>"1D"</f>
        <v>1D</v>
      </c>
      <c r="L192" s="1" t="s">
        <v>65</v>
      </c>
      <c r="M192" s="1" t="str">
        <f t="shared" si="22"/>
        <v>-66</v>
      </c>
      <c r="N192" s="1" t="str">
        <f>""</f>
        <v/>
      </c>
      <c r="O192" s="1">
        <v>2</v>
      </c>
      <c r="P192" s="1"/>
      <c r="Q192" t="s">
        <v>241</v>
      </c>
    </row>
    <row r="193" spans="1:17" x14ac:dyDescent="0.25">
      <c r="A193" t="str">
        <f>"2018-10-21 13:01:11"</f>
        <v>2018-10-21 13:01:11</v>
      </c>
      <c r="B193" s="1" t="str">
        <f>""</f>
        <v/>
      </c>
      <c r="C193" s="1" t="str">
        <f>"Club de judo Shidokan inc."</f>
        <v>Club de judo Shidokan inc.</v>
      </c>
      <c r="D193" s="1" t="str">
        <f>"QC"</f>
        <v>QC</v>
      </c>
      <c r="E193" s="1" t="str">
        <f>"Quebec"</f>
        <v>Quebec</v>
      </c>
      <c r="F193" s="1" t="str">
        <f>"Samuel"</f>
        <v>Samuel</v>
      </c>
      <c r="G193" s="1" t="str">
        <f>"Lévesque"</f>
        <v>Lévesque</v>
      </c>
      <c r="H193" s="1" t="str">
        <f>"0097193"</f>
        <v>0097193</v>
      </c>
      <c r="I193" s="1" t="str">
        <f t="shared" si="21"/>
        <v>M</v>
      </c>
      <c r="J193" s="2">
        <v>1996</v>
      </c>
      <c r="K193" s="1" t="str">
        <f>"1k"</f>
        <v>1k</v>
      </c>
      <c r="L193" s="1" t="str">
        <f>"Senior"</f>
        <v>Senior</v>
      </c>
      <c r="M193" s="1" t="str">
        <f t="shared" si="22"/>
        <v>-66</v>
      </c>
      <c r="N193" s="1" t="str">
        <f>""</f>
        <v/>
      </c>
      <c r="O193" s="1">
        <v>1</v>
      </c>
      <c r="P193" s="1"/>
      <c r="Q193" t="s">
        <v>241</v>
      </c>
    </row>
    <row r="194" spans="1:17" x14ac:dyDescent="0.25">
      <c r="A194" t="str">
        <f>"2018-10-03 10:43:28"</f>
        <v>2018-10-03 10:43:28</v>
      </c>
      <c r="B194" s="1" t="str">
        <f>""</f>
        <v/>
      </c>
      <c r="C194" s="1" t="str">
        <f>"Sheffield Judo Club"</f>
        <v>Sheffield Judo Club</v>
      </c>
      <c r="D194" s="1" t="str">
        <f>"ON"</f>
        <v>ON</v>
      </c>
      <c r="E194" s="1" t="str">
        <f>"Ontario"</f>
        <v>Ontario</v>
      </c>
      <c r="F194" s="1" t="str">
        <f>"Sean"</f>
        <v>Sean</v>
      </c>
      <c r="G194" s="1" t="str">
        <f>"Long"</f>
        <v>Long</v>
      </c>
      <c r="H194" s="1" t="str">
        <f>"0142579"</f>
        <v>0142579</v>
      </c>
      <c r="I194" s="1" t="str">
        <f t="shared" si="21"/>
        <v>M</v>
      </c>
      <c r="J194" s="2">
        <v>1998</v>
      </c>
      <c r="K194" s="1" t="str">
        <f>"2D"</f>
        <v>2D</v>
      </c>
      <c r="L194" s="1" t="str">
        <f>"Senior"</f>
        <v>Senior</v>
      </c>
      <c r="M194" s="1" t="str">
        <f t="shared" si="22"/>
        <v>-66</v>
      </c>
      <c r="N194" s="1" t="str">
        <f>""</f>
        <v/>
      </c>
      <c r="O194" s="1">
        <v>1</v>
      </c>
      <c r="P194" s="1"/>
      <c r="Q194" t="s">
        <v>241</v>
      </c>
    </row>
    <row r="195" spans="1:17" x14ac:dyDescent="0.25">
      <c r="A195" t="str">
        <f>"2018-10-21 13:01:11"</f>
        <v>2018-10-21 13:01:11</v>
      </c>
      <c r="B195" s="1" t="str">
        <f>""</f>
        <v/>
      </c>
      <c r="C195" s="1" t="str">
        <f>"R.a. Judo Club"</f>
        <v>R.a. Judo Club</v>
      </c>
      <c r="D195" s="1" t="str">
        <f>"ON"</f>
        <v>ON</v>
      </c>
      <c r="E195" s="1" t="str">
        <f>"Ontario"</f>
        <v>Ontario</v>
      </c>
      <c r="F195" s="1" t="str">
        <f>"Ankur"</f>
        <v>Ankur</v>
      </c>
      <c r="G195" s="1" t="str">
        <f>"Mahajan"</f>
        <v>Mahajan</v>
      </c>
      <c r="H195" s="1" t="str">
        <f>"0232768"</f>
        <v>0232768</v>
      </c>
      <c r="I195" s="1" t="str">
        <f t="shared" si="21"/>
        <v>M</v>
      </c>
      <c r="J195" s="2">
        <v>1983</v>
      </c>
      <c r="K195" s="1" t="str">
        <f>"1k"</f>
        <v>1k</v>
      </c>
      <c r="L195" s="1" t="s">
        <v>65</v>
      </c>
      <c r="M195" s="1" t="str">
        <f t="shared" si="22"/>
        <v>-66</v>
      </c>
      <c r="N195" s="1" t="str">
        <f>""</f>
        <v/>
      </c>
      <c r="O195" s="1">
        <v>2</v>
      </c>
      <c r="P195" s="1"/>
      <c r="Q195" t="s">
        <v>241</v>
      </c>
    </row>
    <row r="196" spans="1:17" x14ac:dyDescent="0.25">
      <c r="A196" t="str">
        <f>"2018-10-18 13:09:52"</f>
        <v>2018-10-18 13:09:52</v>
      </c>
      <c r="B196" s="1" t="str">
        <f>""</f>
        <v/>
      </c>
      <c r="C196" s="1" t="str">
        <f>"Challenge Sports Club"</f>
        <v>Challenge Sports Club</v>
      </c>
      <c r="D196" s="1" t="str">
        <f>"ON"</f>
        <v>ON</v>
      </c>
      <c r="E196" s="1" t="str">
        <f>"Ontario"</f>
        <v>Ontario</v>
      </c>
      <c r="F196" s="1" t="str">
        <f>"Ossama"</f>
        <v>Ossama</v>
      </c>
      <c r="G196" s="1" t="str">
        <f>"Mahmoud"</f>
        <v>Mahmoud</v>
      </c>
      <c r="H196" s="1" t="str">
        <f>"0155637"</f>
        <v>0155637</v>
      </c>
      <c r="I196" s="1" t="str">
        <f t="shared" si="21"/>
        <v>M</v>
      </c>
      <c r="J196" s="2">
        <v>1998</v>
      </c>
      <c r="K196" s="1" t="str">
        <f>"1D"</f>
        <v>1D</v>
      </c>
      <c r="L196" s="1" t="str">
        <f>"Senior"</f>
        <v>Senior</v>
      </c>
      <c r="M196" s="1" t="str">
        <f t="shared" si="22"/>
        <v>-66</v>
      </c>
      <c r="N196" s="1" t="str">
        <f>""</f>
        <v/>
      </c>
      <c r="O196" s="1">
        <v>1</v>
      </c>
      <c r="P196" s="1"/>
      <c r="Q196" t="s">
        <v>241</v>
      </c>
    </row>
    <row r="197" spans="1:17" x14ac:dyDescent="0.25">
      <c r="A197" t="str">
        <f>"2018-10-21 11:36:12"</f>
        <v>2018-10-21 11:36:12</v>
      </c>
      <c r="B197" s="1" t="str">
        <f>""</f>
        <v/>
      </c>
      <c r="C197" s="1" t="str">
        <f>"Kelowna Judo Club"</f>
        <v>Kelowna Judo Club</v>
      </c>
      <c r="D197" s="1" t="str">
        <f>"BC"</f>
        <v>BC</v>
      </c>
      <c r="E197" s="1" t="str">
        <f>"British Columbia"</f>
        <v>British Columbia</v>
      </c>
      <c r="F197" s="1" t="str">
        <f>"Caine"</f>
        <v>Caine</v>
      </c>
      <c r="G197" s="1" t="str">
        <f>"McCabe"</f>
        <v>McCabe</v>
      </c>
      <c r="H197" s="1" t="str">
        <f>"0227031"</f>
        <v>0227031</v>
      </c>
      <c r="I197" s="1" t="str">
        <f t="shared" si="21"/>
        <v>M</v>
      </c>
      <c r="J197" s="2">
        <v>2002</v>
      </c>
      <c r="K197" s="1" t="str">
        <f>"1k"</f>
        <v>1k</v>
      </c>
      <c r="L197" s="1" t="s">
        <v>65</v>
      </c>
      <c r="M197" s="1" t="str">
        <f t="shared" si="22"/>
        <v>-66</v>
      </c>
      <c r="N197" s="1" t="str">
        <f>""</f>
        <v/>
      </c>
      <c r="O197" s="1">
        <v>2</v>
      </c>
      <c r="P197" s="1"/>
      <c r="Q197" t="s">
        <v>241</v>
      </c>
    </row>
    <row r="198" spans="1:17" x14ac:dyDescent="0.25">
      <c r="A198" t="str">
        <f>"2018-10-21 13:01:11"</f>
        <v>2018-10-21 13:01:11</v>
      </c>
      <c r="B198" s="1" t="str">
        <f>""</f>
        <v/>
      </c>
      <c r="C198" s="1" t="str">
        <f>"Airdrie Eidokan"</f>
        <v>Airdrie Eidokan</v>
      </c>
      <c r="D198" s="1" t="str">
        <f>"AB"</f>
        <v>AB</v>
      </c>
      <c r="E198" s="1" t="str">
        <f>"Alberta"</f>
        <v>Alberta</v>
      </c>
      <c r="F198" s="1" t="str">
        <f>"Justin"</f>
        <v>Justin</v>
      </c>
      <c r="G198" s="1" t="str">
        <f>"McEachern"</f>
        <v>McEachern</v>
      </c>
      <c r="H198" s="1" t="str">
        <f>"0134677"</f>
        <v>0134677</v>
      </c>
      <c r="I198" s="1" t="str">
        <f t="shared" si="21"/>
        <v>M</v>
      </c>
      <c r="J198" s="2">
        <v>1997</v>
      </c>
      <c r="K198" s="1" t="str">
        <f>"1D"</f>
        <v>1D</v>
      </c>
      <c r="L198" s="1" t="str">
        <f>"Senior"</f>
        <v>Senior</v>
      </c>
      <c r="M198" s="1" t="str">
        <f t="shared" si="22"/>
        <v>-66</v>
      </c>
      <c r="N198" s="1" t="str">
        <f>""</f>
        <v/>
      </c>
      <c r="O198" s="1">
        <v>1</v>
      </c>
      <c r="P198" s="1"/>
      <c r="Q198" t="s">
        <v>241</v>
      </c>
    </row>
    <row r="199" spans="1:17" x14ac:dyDescent="0.25">
      <c r="A199" t="str">
        <f>"2018-10-19 12:09:11"</f>
        <v>2018-10-19 12:09:11</v>
      </c>
      <c r="B199" s="1" t="str">
        <f>""</f>
        <v/>
      </c>
      <c r="C199" s="1" t="str">
        <f>"Club de judo Shidokan inc."</f>
        <v>Club de judo Shidokan inc.</v>
      </c>
      <c r="D199" s="1" t="str">
        <f>"QC"</f>
        <v>QC</v>
      </c>
      <c r="E199" s="1" t="str">
        <f>"Quebec"</f>
        <v>Quebec</v>
      </c>
      <c r="F199" s="1" t="str">
        <f>"Malcolm"</f>
        <v>Malcolm</v>
      </c>
      <c r="G199" s="1" t="str">
        <f>"Pelletier"</f>
        <v>Pelletier</v>
      </c>
      <c r="H199" s="1" t="str">
        <f>"0158232"</f>
        <v>0158232</v>
      </c>
      <c r="I199" s="1" t="str">
        <f t="shared" si="21"/>
        <v>M</v>
      </c>
      <c r="J199" s="2">
        <v>2001</v>
      </c>
      <c r="K199" s="1" t="str">
        <f>"1D"</f>
        <v>1D</v>
      </c>
      <c r="L199" s="1" t="s">
        <v>65</v>
      </c>
      <c r="M199" s="1" t="str">
        <f t="shared" si="22"/>
        <v>-66</v>
      </c>
      <c r="N199" s="1" t="str">
        <f>""</f>
        <v/>
      </c>
      <c r="O199" s="1">
        <v>2</v>
      </c>
      <c r="P199" s="1"/>
      <c r="Q199" t="s">
        <v>241</v>
      </c>
    </row>
    <row r="200" spans="1:17" x14ac:dyDescent="0.25">
      <c r="A200" t="str">
        <f>"2018-10-21 13:55:50"</f>
        <v>2018-10-21 13:55:50</v>
      </c>
      <c r="B200" s="1" t="str">
        <f>""</f>
        <v/>
      </c>
      <c r="C200" s="1" t="str">
        <f>"Sao Bernardo"</f>
        <v>Sao Bernardo</v>
      </c>
      <c r="D200" s="1" t="s">
        <v>164</v>
      </c>
      <c r="E200" s="1" t="str">
        <f>"Brazil"</f>
        <v>Brazil</v>
      </c>
      <c r="F200" s="1" t="str">
        <f>"Renan"</f>
        <v>Renan</v>
      </c>
      <c r="G200" s="1" t="str">
        <f>"Puglia"</f>
        <v>Puglia</v>
      </c>
      <c r="H200" s="1" t="str">
        <f>"AutreFederation"</f>
        <v>AutreFederation</v>
      </c>
      <c r="I200" s="1" t="str">
        <f t="shared" si="21"/>
        <v>M</v>
      </c>
      <c r="J200" s="2">
        <v>1994</v>
      </c>
      <c r="K200" s="1" t="str">
        <f>"1D"</f>
        <v>1D</v>
      </c>
      <c r="L200" s="1" t="str">
        <f>"Senior"</f>
        <v>Senior</v>
      </c>
      <c r="M200" s="1" t="str">
        <f t="shared" si="22"/>
        <v>-66</v>
      </c>
      <c r="N200" s="1" t="str">
        <f>""</f>
        <v/>
      </c>
      <c r="O200" s="1">
        <v>1</v>
      </c>
      <c r="P200" s="1"/>
      <c r="Q200" t="s">
        <v>241</v>
      </c>
    </row>
    <row r="201" spans="1:17" x14ac:dyDescent="0.25">
      <c r="A201" t="str">
        <f>"2018-10-21 12:28:44"</f>
        <v>2018-10-21 12:28:44</v>
      </c>
      <c r="B201" s="1" t="str">
        <f>""</f>
        <v/>
      </c>
      <c r="C201" s="1" t="str">
        <f>"Atlantic Training Center"</f>
        <v>Atlantic Training Center</v>
      </c>
      <c r="D201" s="1" t="str">
        <f>"NS"</f>
        <v>NS</v>
      </c>
      <c r="E201" s="1" t="str">
        <f>"Nova Scotia"</f>
        <v>Nova Scotia</v>
      </c>
      <c r="F201" s="1" t="str">
        <f>"Caleb"</f>
        <v>Caleb</v>
      </c>
      <c r="G201" s="1" t="str">
        <f>"Rust"</f>
        <v>Rust</v>
      </c>
      <c r="H201" s="1" t="str">
        <f>"0185043"</f>
        <v>0185043</v>
      </c>
      <c r="I201" s="1" t="str">
        <f t="shared" si="21"/>
        <v>M</v>
      </c>
      <c r="J201" s="2">
        <v>2002</v>
      </c>
      <c r="K201" s="1" t="str">
        <f>"1k"</f>
        <v>1k</v>
      </c>
      <c r="L201" s="1" t="s">
        <v>65</v>
      </c>
      <c r="M201" s="1" t="str">
        <f t="shared" si="22"/>
        <v>-66</v>
      </c>
      <c r="N201" s="1" t="str">
        <f>""</f>
        <v/>
      </c>
      <c r="O201" s="1">
        <v>2</v>
      </c>
      <c r="P201" s="1"/>
      <c r="Q201" t="s">
        <v>241</v>
      </c>
    </row>
    <row r="202" spans="1:17" x14ac:dyDescent="0.25">
      <c r="A202" t="str">
        <f>"2018-10-21 12:28:44"</f>
        <v>2018-10-21 12:28:44</v>
      </c>
      <c r="B202" s="1" t="str">
        <f>""</f>
        <v/>
      </c>
      <c r="C202" s="1" t="str">
        <f>"Western Idaho Judo Institute"</f>
        <v>Western Idaho Judo Institute</v>
      </c>
      <c r="D202" s="1" t="s">
        <v>106</v>
      </c>
      <c r="E202" s="1" t="str">
        <f>"Idaho"</f>
        <v>Idaho</v>
      </c>
      <c r="F202" s="1" t="str">
        <f>"Jonathan"</f>
        <v>Jonathan</v>
      </c>
      <c r="G202" s="1" t="str">
        <f>"Ryan"</f>
        <v>Ryan</v>
      </c>
      <c r="H202" s="1" t="str">
        <f>"AutreFederation"</f>
        <v>AutreFederation</v>
      </c>
      <c r="I202" s="1" t="str">
        <f t="shared" si="21"/>
        <v>M</v>
      </c>
      <c r="J202" s="2">
        <v>1998</v>
      </c>
      <c r="K202" s="1" t="str">
        <f>"1D"</f>
        <v>1D</v>
      </c>
      <c r="L202" s="1" t="str">
        <f>"Senior"</f>
        <v>Senior</v>
      </c>
      <c r="M202" s="1" t="str">
        <f t="shared" si="22"/>
        <v>-66</v>
      </c>
      <c r="N202" s="1" t="str">
        <f>""</f>
        <v/>
      </c>
      <c r="O202" s="1">
        <v>1</v>
      </c>
      <c r="P202" s="1"/>
      <c r="Q202" t="s">
        <v>241</v>
      </c>
    </row>
    <row r="203" spans="1:17" x14ac:dyDescent="0.25">
      <c r="A203" t="str">
        <f>"2018-10-21 13:55:50"</f>
        <v>2018-10-21 13:55:50</v>
      </c>
      <c r="B203" s="1" t="str">
        <f>""</f>
        <v/>
      </c>
      <c r="C203" s="1" t="str">
        <f>"Burnaby Judo Club"</f>
        <v>Burnaby Judo Club</v>
      </c>
      <c r="D203" s="1" t="str">
        <f>"BC"</f>
        <v>BC</v>
      </c>
      <c r="E203" s="1" t="str">
        <f>"British Columbia"</f>
        <v>British Columbia</v>
      </c>
      <c r="F203" s="1" t="str">
        <f>"Emil"</f>
        <v>Emil</v>
      </c>
      <c r="G203" s="1" t="str">
        <f>"Schenk"</f>
        <v>Schenk</v>
      </c>
      <c r="H203" s="1" t="str">
        <f>"0185790"</f>
        <v>0185790</v>
      </c>
      <c r="I203" s="1" t="str">
        <f t="shared" si="21"/>
        <v>M</v>
      </c>
      <c r="J203" s="2">
        <v>2003</v>
      </c>
      <c r="K203" s="1" t="str">
        <f>"1k"</f>
        <v>1k</v>
      </c>
      <c r="L203" s="1" t="s">
        <v>65</v>
      </c>
      <c r="M203" s="1" t="str">
        <f t="shared" si="22"/>
        <v>-66</v>
      </c>
      <c r="N203" s="1" t="str">
        <f>""</f>
        <v/>
      </c>
      <c r="O203" s="1">
        <v>2</v>
      </c>
      <c r="P203" s="1"/>
      <c r="Q203" t="s">
        <v>241</v>
      </c>
    </row>
    <row r="204" spans="1:17" x14ac:dyDescent="0.25">
      <c r="A204" t="str">
        <f>"2018-10-21 13:55:50"</f>
        <v>2018-10-21 13:55:50</v>
      </c>
      <c r="B204" s="1" t="str">
        <f>"2018-10-25 21:28:41"</f>
        <v>2018-10-25 21:28:41</v>
      </c>
      <c r="C204" s="1" t="str">
        <f>"Victoria Judo Club"</f>
        <v>Victoria Judo Club</v>
      </c>
      <c r="D204" s="1" t="str">
        <f>"BC"</f>
        <v>BC</v>
      </c>
      <c r="E204" s="1" t="str">
        <f>"British Columbia"</f>
        <v>British Columbia</v>
      </c>
      <c r="F204" s="1" t="str">
        <f>"Finn"</f>
        <v>Finn</v>
      </c>
      <c r="G204" s="1" t="str">
        <f>"Schroeder"</f>
        <v>Schroeder</v>
      </c>
      <c r="H204" s="1" t="str">
        <f>"0226952"</f>
        <v>0226952</v>
      </c>
      <c r="I204" s="1" t="str">
        <f t="shared" si="21"/>
        <v>M</v>
      </c>
      <c r="J204" s="2">
        <v>2002</v>
      </c>
      <c r="K204" s="1" t="str">
        <f>"1D"</f>
        <v>1D</v>
      </c>
      <c r="L204" s="1" t="s">
        <v>65</v>
      </c>
      <c r="M204" s="1" t="str">
        <f t="shared" si="22"/>
        <v>-66</v>
      </c>
      <c r="N204" s="1" t="str">
        <f>""</f>
        <v/>
      </c>
      <c r="O204" s="1">
        <v>2</v>
      </c>
      <c r="P204" s="1"/>
      <c r="Q204" t="s">
        <v>241</v>
      </c>
    </row>
    <row r="205" spans="1:17" x14ac:dyDescent="0.25">
      <c r="B205" s="1" t="str">
        <f>""</f>
        <v/>
      </c>
      <c r="C205" s="1" t="str">
        <f>"Club de judo de la vieille capitale"</f>
        <v>Club de judo de la vieille capitale</v>
      </c>
      <c r="D205" s="1" t="str">
        <f>"QC"</f>
        <v>QC</v>
      </c>
      <c r="E205" s="1" t="str">
        <f>"Quebec"</f>
        <v>Quebec</v>
      </c>
      <c r="F205" s="1" t="str">
        <f>"Riwan"</f>
        <v>Riwan</v>
      </c>
      <c r="G205" s="1" t="str">
        <f>"Tournier"</f>
        <v>Tournier</v>
      </c>
      <c r="H205" s="1" t="str">
        <f>"0229670"</f>
        <v>0229670</v>
      </c>
      <c r="I205" s="1" t="str">
        <f t="shared" si="21"/>
        <v>M</v>
      </c>
      <c r="J205" s="1">
        <v>1998</v>
      </c>
      <c r="K205" s="1" t="s">
        <v>110</v>
      </c>
      <c r="L205" s="1" t="s">
        <v>65</v>
      </c>
      <c r="M205" s="1" t="str">
        <f t="shared" si="22"/>
        <v>-66</v>
      </c>
      <c r="N205" s="1" t="str">
        <f>""</f>
        <v/>
      </c>
      <c r="O205" s="1">
        <v>2</v>
      </c>
      <c r="P205" s="1"/>
      <c r="Q205" t="s">
        <v>241</v>
      </c>
    </row>
    <row r="206" spans="1:17" x14ac:dyDescent="0.25">
      <c r="A206" t="str">
        <f>"2018-10-21 13:01:11"</f>
        <v>2018-10-21 13:01:11</v>
      </c>
      <c r="B206" s="1" t="str">
        <f>""</f>
        <v/>
      </c>
      <c r="C206" s="1" t="str">
        <f>"Club de Judo et de Ju-Jitsu Juvaldo inc."</f>
        <v>Club de Judo et de Ju-Jitsu Juvaldo inc.</v>
      </c>
      <c r="D206" s="1" t="str">
        <f>"QC"</f>
        <v>QC</v>
      </c>
      <c r="E206" s="1" t="str">
        <f>"Quebec"</f>
        <v>Quebec</v>
      </c>
      <c r="F206" s="1" t="str">
        <f>"Jacob"</f>
        <v>Jacob</v>
      </c>
      <c r="G206" s="1" t="str">
        <f>"Trudel"</f>
        <v>Trudel</v>
      </c>
      <c r="H206" s="1" t="str">
        <f>"0152930"</f>
        <v>0152930</v>
      </c>
      <c r="I206" s="1" t="str">
        <f t="shared" si="21"/>
        <v>M</v>
      </c>
      <c r="J206" s="2">
        <v>2002</v>
      </c>
      <c r="K206" s="1" t="str">
        <f>"1k"</f>
        <v>1k</v>
      </c>
      <c r="L206" s="1" t="s">
        <v>65</v>
      </c>
      <c r="M206" s="1" t="str">
        <f t="shared" si="22"/>
        <v>-66</v>
      </c>
      <c r="N206" s="1" t="str">
        <f>""</f>
        <v/>
      </c>
      <c r="O206" s="1">
        <v>2</v>
      </c>
      <c r="P206" s="1"/>
      <c r="Q206" t="s">
        <v>241</v>
      </c>
    </row>
    <row r="207" spans="1:17" x14ac:dyDescent="0.25">
      <c r="A207" t="str">
        <f>"2018-10-21 13:55:50"</f>
        <v>2018-10-21 13:55:50</v>
      </c>
      <c r="B207" s="1" t="str">
        <f>""</f>
        <v/>
      </c>
      <c r="C207" s="1" t="str">
        <f>"Club de Judo Boucherville inc."</f>
        <v>Club de Judo Boucherville inc.</v>
      </c>
      <c r="D207" s="1" t="str">
        <f>"QC"</f>
        <v>QC</v>
      </c>
      <c r="E207" s="1" t="str">
        <f>"Quebec"</f>
        <v>Quebec</v>
      </c>
      <c r="F207" s="1" t="str">
        <f>"Jacob"</f>
        <v>Jacob</v>
      </c>
      <c r="G207" s="1" t="str">
        <f>"Valois"</f>
        <v>Valois</v>
      </c>
      <c r="H207" s="1" t="str">
        <f>"0139142"</f>
        <v>0139142</v>
      </c>
      <c r="I207" s="1" t="str">
        <f t="shared" si="21"/>
        <v>M</v>
      </c>
      <c r="J207" s="2">
        <v>1998</v>
      </c>
      <c r="K207" s="1" t="str">
        <f>"2D"</f>
        <v>2D</v>
      </c>
      <c r="L207" s="1" t="str">
        <f>"Senior"</f>
        <v>Senior</v>
      </c>
      <c r="M207" s="1" t="str">
        <f t="shared" si="22"/>
        <v>-66</v>
      </c>
      <c r="N207" s="1" t="str">
        <f>""</f>
        <v/>
      </c>
      <c r="O207" s="1">
        <v>1</v>
      </c>
      <c r="P207" s="1"/>
      <c r="Q207" t="s">
        <v>241</v>
      </c>
    </row>
    <row r="208" spans="1:17" x14ac:dyDescent="0.25">
      <c r="A208" t="str">
        <f>"2018-10-21 13:55:50"</f>
        <v>2018-10-21 13:55:50</v>
      </c>
      <c r="B208" s="1" t="str">
        <f>""</f>
        <v/>
      </c>
      <c r="C208" s="1" t="str">
        <f>"Upper Canada Judo Club"</f>
        <v>Upper Canada Judo Club</v>
      </c>
      <c r="D208" s="1" t="str">
        <f>"ON"</f>
        <v>ON</v>
      </c>
      <c r="E208" s="1" t="str">
        <f>"Ontario"</f>
        <v>Ontario</v>
      </c>
      <c r="F208" s="1" t="str">
        <f>"Erik"</f>
        <v>Erik</v>
      </c>
      <c r="G208" s="1" t="str">
        <f>"Vandersanden"</f>
        <v>Vandersanden</v>
      </c>
      <c r="H208" s="1" t="str">
        <f>"0155021"</f>
        <v>0155021</v>
      </c>
      <c r="I208" s="1" t="str">
        <f t="shared" si="21"/>
        <v>M</v>
      </c>
      <c r="J208" s="2">
        <v>2001</v>
      </c>
      <c r="K208" s="1" t="s">
        <v>158</v>
      </c>
      <c r="L208" s="1" t="s">
        <v>65</v>
      </c>
      <c r="M208" s="1" t="str">
        <f t="shared" si="22"/>
        <v>-66</v>
      </c>
      <c r="N208" s="1" t="str">
        <f>""</f>
        <v/>
      </c>
      <c r="O208" s="1">
        <v>2</v>
      </c>
      <c r="P208" s="1"/>
      <c r="Q208" t="s">
        <v>241</v>
      </c>
    </row>
    <row r="209" spans="1:17" x14ac:dyDescent="0.25">
      <c r="A209" t="str">
        <f>"2018-10-21 13:01:11"</f>
        <v>2018-10-21 13:01:11</v>
      </c>
      <c r="B209" s="1" t="str">
        <f>""</f>
        <v/>
      </c>
      <c r="C209" s="1" t="str">
        <f>"Abbotsford Judo Club"</f>
        <v>Abbotsford Judo Club</v>
      </c>
      <c r="D209" s="1" t="str">
        <f>"BC"</f>
        <v>BC</v>
      </c>
      <c r="E209" s="1" t="str">
        <f>"British Columbia"</f>
        <v>British Columbia</v>
      </c>
      <c r="F209" s="1" t="str">
        <f>"Mitchell"</f>
        <v>Mitchell</v>
      </c>
      <c r="G209" s="1" t="str">
        <f>"Wolfe"</f>
        <v>Wolfe</v>
      </c>
      <c r="H209" s="1" t="str">
        <f>"0153535"</f>
        <v>0153535</v>
      </c>
      <c r="I209" s="1" t="str">
        <f t="shared" si="21"/>
        <v>M</v>
      </c>
      <c r="J209" s="2">
        <v>1999</v>
      </c>
      <c r="K209" s="1" t="str">
        <f>"1D"</f>
        <v>1D</v>
      </c>
      <c r="L209" s="1" t="s">
        <v>65</v>
      </c>
      <c r="M209" s="1" t="str">
        <f t="shared" si="22"/>
        <v>-66</v>
      </c>
      <c r="N209" s="1" t="str">
        <f>""</f>
        <v/>
      </c>
      <c r="O209" s="1">
        <v>2</v>
      </c>
      <c r="P209" s="1"/>
      <c r="Q209" t="s">
        <v>241</v>
      </c>
    </row>
    <row r="210" spans="1:17" x14ac:dyDescent="0.25">
      <c r="A210" t="str">
        <f>"2018-10-20 21:35:40"</f>
        <v>2018-10-20 21:35:40</v>
      </c>
      <c r="B210" s="1"/>
      <c r="C210" s="1" t="s">
        <v>242</v>
      </c>
      <c r="D210" s="1" t="s">
        <v>82</v>
      </c>
      <c r="E210" s="1" t="s">
        <v>70</v>
      </c>
      <c r="F210" s="1" t="s">
        <v>243</v>
      </c>
      <c r="G210" s="1" t="s">
        <v>244</v>
      </c>
      <c r="H210" s="1">
        <v>163554</v>
      </c>
      <c r="I210" s="1" t="s">
        <v>20</v>
      </c>
      <c r="J210" s="2">
        <v>2002</v>
      </c>
      <c r="K210" s="1" t="s">
        <v>21</v>
      </c>
      <c r="L210" s="1" t="s">
        <v>65</v>
      </c>
      <c r="M210" s="12">
        <v>-70</v>
      </c>
      <c r="N210" s="1"/>
      <c r="O210" s="1">
        <v>2</v>
      </c>
      <c r="P210" s="1"/>
      <c r="Q210" t="s">
        <v>87</v>
      </c>
    </row>
    <row r="211" spans="1:17" x14ac:dyDescent="0.25">
      <c r="A211" t="str">
        <f>"2018-10-21 11:36:12"</f>
        <v>2018-10-21 11:36:12</v>
      </c>
      <c r="B211" s="1" t="str">
        <f>""</f>
        <v/>
      </c>
      <c r="C211" s="1" t="str">
        <f>"Club de Judo d'Asbestos-Danville"</f>
        <v>Club de Judo d'Asbestos-Danville</v>
      </c>
      <c r="D211" s="1" t="str">
        <f>"QC"</f>
        <v>QC</v>
      </c>
      <c r="E211" s="1" t="str">
        <f>"Quebec"</f>
        <v>Quebec</v>
      </c>
      <c r="F211" s="1" t="str">
        <f>"Sophia"</f>
        <v>Sophia</v>
      </c>
      <c r="G211" s="1" t="str">
        <f>"Camire-Wan"</f>
        <v>Camire-Wan</v>
      </c>
      <c r="H211" s="1" t="str">
        <f>"0211816"</f>
        <v>0211816</v>
      </c>
      <c r="I211" s="1" t="str">
        <f t="shared" ref="I211:I220" si="23">"F"</f>
        <v>F</v>
      </c>
      <c r="J211" s="2">
        <v>1992</v>
      </c>
      <c r="K211" s="1" t="str">
        <f>"2k"</f>
        <v>2k</v>
      </c>
      <c r="L211" s="1" t="str">
        <f>"Senior"</f>
        <v>Senior</v>
      </c>
      <c r="M211" s="1" t="str">
        <f t="shared" ref="M211:M220" si="24">"-70"</f>
        <v>-70</v>
      </c>
      <c r="N211" s="1" t="str">
        <f>""</f>
        <v/>
      </c>
      <c r="O211" s="1">
        <v>1</v>
      </c>
      <c r="P211" s="1"/>
      <c r="Q211" t="s">
        <v>87</v>
      </c>
    </row>
    <row r="212" spans="1:17" x14ac:dyDescent="0.25">
      <c r="A212" t="str">
        <f>"2018-10-21 13:55:50"</f>
        <v>2018-10-21 13:55:50</v>
      </c>
      <c r="B212" s="1" t="str">
        <f>""</f>
        <v/>
      </c>
      <c r="C212" s="1" t="str">
        <f>"Club de Judo d'Asbestos-Danville"</f>
        <v>Club de Judo d'Asbestos-Danville</v>
      </c>
      <c r="D212" s="1" t="str">
        <f>"QC"</f>
        <v>QC</v>
      </c>
      <c r="E212" s="1" t="str">
        <f>"Québec"</f>
        <v>Québec</v>
      </c>
      <c r="F212" s="1" t="str">
        <f>"Noemie"</f>
        <v>Noemie</v>
      </c>
      <c r="G212" s="1" t="str">
        <f>"Delisle"</f>
        <v>Delisle</v>
      </c>
      <c r="H212" s="1" t="str">
        <f>"0090860"</f>
        <v>0090860</v>
      </c>
      <c r="I212" s="1" t="str">
        <f t="shared" si="23"/>
        <v>F</v>
      </c>
      <c r="J212" s="2">
        <v>1997</v>
      </c>
      <c r="K212" s="1" t="str">
        <f>"2k"</f>
        <v>2k</v>
      </c>
      <c r="L212" s="1" t="str">
        <f>"Senior"</f>
        <v>Senior</v>
      </c>
      <c r="M212" s="1" t="str">
        <f t="shared" si="24"/>
        <v>-70</v>
      </c>
      <c r="N212" s="1" t="str">
        <f>""</f>
        <v/>
      </c>
      <c r="O212" s="1">
        <v>1</v>
      </c>
      <c r="P212" s="1"/>
      <c r="Q212" t="s">
        <v>87</v>
      </c>
    </row>
    <row r="213" spans="1:17" x14ac:dyDescent="0.25">
      <c r="A213" t="str">
        <f>"2018-10-21 13:01:11"</f>
        <v>2018-10-21 13:01:11</v>
      </c>
      <c r="B213" s="1" t="str">
        <f>""</f>
        <v/>
      </c>
      <c r="C213" s="1" t="str">
        <f>"York Judo &amp; Bjjj"</f>
        <v>York Judo &amp; Bjjj</v>
      </c>
      <c r="D213" s="1" t="str">
        <f>"ON"</f>
        <v>ON</v>
      </c>
      <c r="E213" s="1" t="str">
        <f>"Ontario"</f>
        <v>Ontario</v>
      </c>
      <c r="F213" s="1" t="str">
        <f>"Bailey"</f>
        <v>Bailey</v>
      </c>
      <c r="G213" s="1" t="str">
        <f>"Doerfler"</f>
        <v>Doerfler</v>
      </c>
      <c r="H213" s="1" t="str">
        <f>"0208467"</f>
        <v>0208467</v>
      </c>
      <c r="I213" s="1" t="str">
        <f t="shared" si="23"/>
        <v>F</v>
      </c>
      <c r="J213" s="2">
        <v>2002</v>
      </c>
      <c r="K213" s="1" t="str">
        <f>"1k"</f>
        <v>1k</v>
      </c>
      <c r="L213" s="1" t="s">
        <v>65</v>
      </c>
      <c r="M213" s="1" t="str">
        <f t="shared" si="24"/>
        <v>-70</v>
      </c>
      <c r="N213" s="1" t="str">
        <f>""</f>
        <v/>
      </c>
      <c r="O213" s="1">
        <v>2</v>
      </c>
      <c r="P213" s="1"/>
      <c r="Q213" t="s">
        <v>87</v>
      </c>
    </row>
    <row r="214" spans="1:17" x14ac:dyDescent="0.25">
      <c r="A214" t="str">
        <f>"2018-10-21 13:55:50"</f>
        <v>2018-10-21 13:55:50</v>
      </c>
      <c r="B214" s="1" t="str">
        <f>""</f>
        <v/>
      </c>
      <c r="C214" s="1" t="str">
        <f>"Lethbridge Kyodokan Judo Club"</f>
        <v>Lethbridge Kyodokan Judo Club</v>
      </c>
      <c r="D214" s="1" t="str">
        <f>"AB"</f>
        <v>AB</v>
      </c>
      <c r="E214" s="1" t="str">
        <f>"Alberta"</f>
        <v>Alberta</v>
      </c>
      <c r="F214" s="1" t="str">
        <f>"Shianne"</f>
        <v>Shianne</v>
      </c>
      <c r="G214" s="1" t="str">
        <f>"Gronen"</f>
        <v>Gronen</v>
      </c>
      <c r="H214" s="1" t="str">
        <f>"0213703"</f>
        <v>0213703</v>
      </c>
      <c r="I214" s="1" t="str">
        <f t="shared" si="23"/>
        <v>F</v>
      </c>
      <c r="J214" s="2">
        <v>1998</v>
      </c>
      <c r="K214" s="1" t="str">
        <f>"1D"</f>
        <v>1D</v>
      </c>
      <c r="L214" s="1" t="str">
        <f>"Senior"</f>
        <v>Senior</v>
      </c>
      <c r="M214" s="1" t="str">
        <f t="shared" si="24"/>
        <v>-70</v>
      </c>
      <c r="N214" s="1" t="str">
        <f>""</f>
        <v/>
      </c>
      <c r="O214" s="1">
        <v>1</v>
      </c>
      <c r="P214" s="1"/>
      <c r="Q214" t="s">
        <v>87</v>
      </c>
    </row>
    <row r="215" spans="1:17" x14ac:dyDescent="0.25">
      <c r="A215" t="str">
        <f>"2018-10-21 12:28:44"</f>
        <v>2018-10-21 12:28:44</v>
      </c>
      <c r="B215" s="1" t="str">
        <f>""</f>
        <v/>
      </c>
      <c r="C215" s="1" t="str">
        <f>"Campbell River Judo Club"</f>
        <v>Campbell River Judo Club</v>
      </c>
      <c r="D215" s="1" t="str">
        <f>"BC"</f>
        <v>BC</v>
      </c>
      <c r="E215" s="1" t="str">
        <f>"British Columbia"</f>
        <v>British Columbia</v>
      </c>
      <c r="F215" s="1" t="str">
        <f>"Yana"</f>
        <v>Yana</v>
      </c>
      <c r="G215" s="1" t="str">
        <f>"Jacobs"</f>
        <v>Jacobs</v>
      </c>
      <c r="H215" s="1" t="str">
        <f>"0233058"</f>
        <v>0233058</v>
      </c>
      <c r="I215" s="1" t="str">
        <f t="shared" si="23"/>
        <v>F</v>
      </c>
      <c r="J215" s="2">
        <v>2003</v>
      </c>
      <c r="K215" s="4" t="str">
        <f>"3k"</f>
        <v>3k</v>
      </c>
      <c r="L215" s="4" t="s">
        <v>65</v>
      </c>
      <c r="M215" s="1" t="str">
        <f t="shared" si="24"/>
        <v>-70</v>
      </c>
      <c r="N215" s="1" t="str">
        <f>""</f>
        <v/>
      </c>
      <c r="O215" s="1">
        <v>2</v>
      </c>
      <c r="P215" s="1" t="s">
        <v>86</v>
      </c>
      <c r="Q215" t="s">
        <v>87</v>
      </c>
    </row>
    <row r="216" spans="1:17" x14ac:dyDescent="0.25">
      <c r="A216" t="str">
        <f>"2018-10-21 13:55:50"</f>
        <v>2018-10-21 13:55:50</v>
      </c>
      <c r="B216" s="1" t="str">
        <f>""</f>
        <v/>
      </c>
      <c r="C216" s="1" t="str">
        <f>"Steveston Judo Club"</f>
        <v>Steveston Judo Club</v>
      </c>
      <c r="D216" s="1" t="str">
        <f>"BC"</f>
        <v>BC</v>
      </c>
      <c r="E216" s="1" t="str">
        <f>"British Columbia"</f>
        <v>British Columbia</v>
      </c>
      <c r="F216" s="1" t="str">
        <f>"Meghan"</f>
        <v>Meghan</v>
      </c>
      <c r="G216" s="1" t="str">
        <f>"Jamieson"</f>
        <v>Jamieson</v>
      </c>
      <c r="H216" s="1" t="str">
        <f>"0154079"</f>
        <v>0154079</v>
      </c>
      <c r="I216" s="1" t="str">
        <f t="shared" si="23"/>
        <v>F</v>
      </c>
      <c r="J216" s="2">
        <v>1994</v>
      </c>
      <c r="K216" s="1" t="str">
        <f>"2D"</f>
        <v>2D</v>
      </c>
      <c r="L216" s="1" t="str">
        <f>"Senior"</f>
        <v>Senior</v>
      </c>
      <c r="M216" s="1" t="str">
        <f t="shared" si="24"/>
        <v>-70</v>
      </c>
      <c r="N216" s="1" t="str">
        <f>""</f>
        <v/>
      </c>
      <c r="O216" s="1">
        <v>1</v>
      </c>
      <c r="P216" s="1"/>
      <c r="Q216" t="s">
        <v>87</v>
      </c>
    </row>
    <row r="217" spans="1:17" x14ac:dyDescent="0.25">
      <c r="A217" t="str">
        <f>"2018-10-21 13:01:11"</f>
        <v>2018-10-21 13:01:11</v>
      </c>
      <c r="B217" s="1" t="str">
        <f>""</f>
        <v/>
      </c>
      <c r="C217" s="1" t="str">
        <f>"Sheffield Judo Club"</f>
        <v>Sheffield Judo Club</v>
      </c>
      <c r="D217" s="1" t="str">
        <f>"ON"</f>
        <v>ON</v>
      </c>
      <c r="E217" s="1" t="str">
        <f>"Ontario"</f>
        <v>Ontario</v>
      </c>
      <c r="F217" s="1" t="str">
        <f>"Alexandria"</f>
        <v>Alexandria</v>
      </c>
      <c r="G217" s="1" t="str">
        <f>"Lefort"</f>
        <v>Lefort</v>
      </c>
      <c r="H217" s="1" t="str">
        <f>"0230939"</f>
        <v>0230939</v>
      </c>
      <c r="I217" s="1" t="str">
        <f t="shared" si="23"/>
        <v>F</v>
      </c>
      <c r="J217" s="2">
        <v>2002</v>
      </c>
      <c r="K217" s="1" t="str">
        <f>"1k"</f>
        <v>1k</v>
      </c>
      <c r="L217" s="1" t="s">
        <v>65</v>
      </c>
      <c r="M217" s="1" t="str">
        <f t="shared" si="24"/>
        <v>-70</v>
      </c>
      <c r="N217" s="1" t="str">
        <f>""</f>
        <v/>
      </c>
      <c r="O217" s="1">
        <v>2</v>
      </c>
      <c r="P217" s="1"/>
      <c r="Q217" t="s">
        <v>87</v>
      </c>
    </row>
    <row r="218" spans="1:17" x14ac:dyDescent="0.25">
      <c r="B218" s="1" t="str">
        <f>""</f>
        <v/>
      </c>
      <c r="C218" s="1" t="str">
        <f>"Club de judo Shidokan inc."</f>
        <v>Club de judo Shidokan inc.</v>
      </c>
      <c r="D218" s="1" t="str">
        <f>"QC"</f>
        <v>QC</v>
      </c>
      <c r="E218" s="1" t="str">
        <f>"Quebec"</f>
        <v>Quebec</v>
      </c>
      <c r="F218" s="1" t="str">
        <f>"Marie-Ève"</f>
        <v>Marie-Ève</v>
      </c>
      <c r="G218" s="1" t="str">
        <f>"Ouimet"</f>
        <v>Ouimet</v>
      </c>
      <c r="H218" s="1" t="str">
        <f>"0087098"</f>
        <v>0087098</v>
      </c>
      <c r="I218" s="1" t="str">
        <f t="shared" si="23"/>
        <v>F</v>
      </c>
      <c r="J218" s="1">
        <v>1992</v>
      </c>
      <c r="K218" s="1" t="s">
        <v>158</v>
      </c>
      <c r="L218" s="1" t="str">
        <f>"Senior"</f>
        <v>Senior</v>
      </c>
      <c r="M218" s="1" t="str">
        <f t="shared" si="24"/>
        <v>-70</v>
      </c>
      <c r="N218" s="1"/>
      <c r="O218" s="1">
        <v>1</v>
      </c>
      <c r="P218" s="1"/>
      <c r="Q218" t="s">
        <v>87</v>
      </c>
    </row>
    <row r="219" spans="1:17" x14ac:dyDescent="0.25">
      <c r="A219" t="str">
        <f>"2018-10-21 13:55:50"</f>
        <v>2018-10-21 13:55:50</v>
      </c>
      <c r="B219" s="1" t="str">
        <f>""</f>
        <v/>
      </c>
      <c r="C219" s="1" t="str">
        <f>"Club de judo Seïkidokan inc."</f>
        <v>Club de judo Seïkidokan inc.</v>
      </c>
      <c r="D219" s="1" t="str">
        <f>"QC"</f>
        <v>QC</v>
      </c>
      <c r="E219" s="1" t="str">
        <f>"Quebec"</f>
        <v>Quebec</v>
      </c>
      <c r="F219" s="1" t="str">
        <f>"Alix"</f>
        <v>Alix</v>
      </c>
      <c r="G219" s="1" t="str">
        <f>"Renaud-Roy"</f>
        <v>Renaud-Roy</v>
      </c>
      <c r="H219" s="1" t="str">
        <f>"0088093"</f>
        <v>0088093</v>
      </c>
      <c r="I219" s="1" t="str">
        <f t="shared" si="23"/>
        <v>F</v>
      </c>
      <c r="J219" s="2">
        <v>1993</v>
      </c>
      <c r="K219" s="1" t="str">
        <f>"3D"</f>
        <v>3D</v>
      </c>
      <c r="L219" s="1" t="str">
        <f>"Senior"</f>
        <v>Senior</v>
      </c>
      <c r="M219" s="1" t="str">
        <f t="shared" si="24"/>
        <v>-70</v>
      </c>
      <c r="N219" s="1" t="str">
        <f>""</f>
        <v/>
      </c>
      <c r="O219" s="1">
        <v>1</v>
      </c>
      <c r="P219" s="1"/>
      <c r="Q219" t="s">
        <v>87</v>
      </c>
    </row>
    <row r="220" spans="1:17" x14ac:dyDescent="0.25">
      <c r="A220" t="str">
        <f>"2018-10-21 13:01:11"</f>
        <v>2018-10-21 13:01:11</v>
      </c>
      <c r="B220" s="1" t="str">
        <f>""</f>
        <v/>
      </c>
      <c r="C220" s="1" t="str">
        <f>"Kodokwai Judo Club"</f>
        <v>Kodokwai Judo Club</v>
      </c>
      <c r="D220" s="1" t="str">
        <f>"AB"</f>
        <v>AB</v>
      </c>
      <c r="E220" s="1" t="str">
        <f>"Alberta"</f>
        <v>Alberta</v>
      </c>
      <c r="F220" s="1" t="str">
        <f>"Julia"</f>
        <v>Julia</v>
      </c>
      <c r="G220" s="1" t="str">
        <f>"Sergeeva"</f>
        <v>Sergeeva</v>
      </c>
      <c r="H220" s="1" t="str">
        <f>"0173074"</f>
        <v>0173074</v>
      </c>
      <c r="I220" s="1" t="str">
        <f t="shared" si="23"/>
        <v>F</v>
      </c>
      <c r="J220" s="2">
        <v>2002</v>
      </c>
      <c r="K220" s="1" t="str">
        <f>"1k"</f>
        <v>1k</v>
      </c>
      <c r="L220" s="1" t="s">
        <v>65</v>
      </c>
      <c r="M220" s="1" t="str">
        <f t="shared" si="24"/>
        <v>-70</v>
      </c>
      <c r="N220" s="1" t="str">
        <f>""</f>
        <v/>
      </c>
      <c r="O220" s="1">
        <v>2</v>
      </c>
      <c r="P220" s="1"/>
      <c r="Q220" t="s">
        <v>87</v>
      </c>
    </row>
    <row r="221" spans="1:17" x14ac:dyDescent="0.25">
      <c r="A221" t="str">
        <f>"2018-10-03 11:53:11"</f>
        <v>2018-10-03 11:53:11</v>
      </c>
      <c r="B221" s="1" t="str">
        <f>""</f>
        <v/>
      </c>
      <c r="C221" s="1" t="str">
        <f>"Club de judo Shidokan inc."</f>
        <v>Club de judo Shidokan inc.</v>
      </c>
      <c r="D221" s="1" t="str">
        <f>"QC"</f>
        <v>QC</v>
      </c>
      <c r="E221" s="1" t="str">
        <f>"Quebec"</f>
        <v>Quebec</v>
      </c>
      <c r="F221" s="1" t="str">
        <f>"Charlie"</f>
        <v>Charlie</v>
      </c>
      <c r="G221" s="1" t="str">
        <f>"Adams"</f>
        <v>Adams</v>
      </c>
      <c r="H221" s="1" t="str">
        <f>"0239343"</f>
        <v>0239343</v>
      </c>
      <c r="I221" s="1" t="str">
        <f t="shared" ref="I221:I267" si="25">"M"</f>
        <v>M</v>
      </c>
      <c r="J221" s="2">
        <v>1992</v>
      </c>
      <c r="K221" s="1" t="str">
        <f>"1k"</f>
        <v>1k</v>
      </c>
      <c r="L221" s="1" t="str">
        <f>"Senior"</f>
        <v>Senior</v>
      </c>
      <c r="M221" s="1" t="str">
        <f t="shared" ref="M221:M267" si="26">"-73"</f>
        <v>-73</v>
      </c>
      <c r="N221" s="1" t="str">
        <f>""</f>
        <v/>
      </c>
      <c r="O221" s="1">
        <v>1</v>
      </c>
      <c r="P221" s="1"/>
      <c r="Q221" t="s">
        <v>75</v>
      </c>
    </row>
    <row r="222" spans="1:17" x14ac:dyDescent="0.25">
      <c r="A222" t="str">
        <f>"2018-10-21 22:18:47"</f>
        <v>2018-10-21 22:18:47</v>
      </c>
      <c r="B222" s="1" t="str">
        <f>""</f>
        <v/>
      </c>
      <c r="C222" s="1" t="str">
        <f>"West Kildonan Judo Club"</f>
        <v>West Kildonan Judo Club</v>
      </c>
      <c r="D222" s="1" t="str">
        <f>"MB"</f>
        <v>MB</v>
      </c>
      <c r="E222" s="1" t="str">
        <f>"Manitoba"</f>
        <v>Manitoba</v>
      </c>
      <c r="F222" s="1" t="str">
        <f>"Michael"</f>
        <v>Michael</v>
      </c>
      <c r="G222" s="1" t="str">
        <f>"Akbashev"</f>
        <v>Akbashev</v>
      </c>
      <c r="H222" s="1" t="str">
        <f>"0225386"</f>
        <v>0225386</v>
      </c>
      <c r="I222" s="1" t="str">
        <f t="shared" si="25"/>
        <v>M</v>
      </c>
      <c r="J222" s="2">
        <v>2003</v>
      </c>
      <c r="K222" s="1" t="str">
        <f>"1k"</f>
        <v>1k</v>
      </c>
      <c r="L222" s="1" t="s">
        <v>65</v>
      </c>
      <c r="M222" s="1" t="str">
        <f t="shared" si="26"/>
        <v>-73</v>
      </c>
      <c r="N222" s="1" t="str">
        <f>""</f>
        <v/>
      </c>
      <c r="O222" s="1">
        <v>2</v>
      </c>
      <c r="P222" s="1"/>
      <c r="Q222" t="s">
        <v>75</v>
      </c>
    </row>
    <row r="223" spans="1:17" x14ac:dyDescent="0.25">
      <c r="A223" t="str">
        <f>"2018-10-25 11:11:23"</f>
        <v>2018-10-25 11:11:23</v>
      </c>
      <c r="B223" s="1" t="str">
        <f>""</f>
        <v/>
      </c>
      <c r="C223" s="1" t="str">
        <f>"Club de Judo et de Ju-Jitsu Juvaldo inc."</f>
        <v>Club de Judo et de Ju-Jitsu Juvaldo inc.</v>
      </c>
      <c r="D223" s="1" t="str">
        <f>"QC"</f>
        <v>QC</v>
      </c>
      <c r="E223" s="1" t="str">
        <f>"Québec"</f>
        <v>Québec</v>
      </c>
      <c r="F223" s="1" t="str">
        <f>"Éliot"</f>
        <v>Éliot</v>
      </c>
      <c r="G223" s="1" t="str">
        <f>"Allaire"</f>
        <v>Allaire</v>
      </c>
      <c r="H223" s="1" t="str">
        <f>"AutreFederation"</f>
        <v>AutreFederation</v>
      </c>
      <c r="I223" s="1" t="str">
        <f t="shared" si="25"/>
        <v>M</v>
      </c>
      <c r="J223" s="2">
        <v>2002</v>
      </c>
      <c r="K223" s="1" t="str">
        <f>"1k"</f>
        <v>1k</v>
      </c>
      <c r="L223" s="1" t="s">
        <v>65</v>
      </c>
      <c r="M223" s="1" t="str">
        <f t="shared" si="26"/>
        <v>-73</v>
      </c>
      <c r="N223" s="1" t="str">
        <f>""</f>
        <v/>
      </c>
      <c r="O223" s="1">
        <v>2</v>
      </c>
      <c r="P223" s="1"/>
      <c r="Q223" t="s">
        <v>75</v>
      </c>
    </row>
    <row r="224" spans="1:17" x14ac:dyDescent="0.25">
      <c r="A224" t="str">
        <f>"2018-10-24 21:18:35"</f>
        <v>2018-10-24 21:18:35</v>
      </c>
      <c r="B224" s="1" t="str">
        <f>""</f>
        <v/>
      </c>
      <c r="C224" s="1" t="str">
        <f>"Upper Canada Judo Club"</f>
        <v>Upper Canada Judo Club</v>
      </c>
      <c r="D224" s="1" t="str">
        <f>"ON"</f>
        <v>ON</v>
      </c>
      <c r="E224" s="1" t="str">
        <f>"Ontario"</f>
        <v>Ontario</v>
      </c>
      <c r="F224" s="1" t="str">
        <f>"Ben"</f>
        <v>Ben</v>
      </c>
      <c r="G224" s="1" t="str">
        <f>"Andrews"</f>
        <v>Andrews</v>
      </c>
      <c r="H224" s="1" t="str">
        <f>"0142264"</f>
        <v>0142264</v>
      </c>
      <c r="I224" s="1" t="str">
        <f t="shared" si="25"/>
        <v>M</v>
      </c>
      <c r="J224" s="2">
        <v>2001</v>
      </c>
      <c r="K224" s="1" t="str">
        <f>"1D"</f>
        <v>1D</v>
      </c>
      <c r="L224" s="1" t="s">
        <v>65</v>
      </c>
      <c r="M224" s="1" t="str">
        <f t="shared" si="26"/>
        <v>-73</v>
      </c>
      <c r="N224" s="1" t="str">
        <f>""</f>
        <v/>
      </c>
      <c r="O224" s="1">
        <v>2</v>
      </c>
      <c r="P224" s="1"/>
      <c r="Q224" t="s">
        <v>75</v>
      </c>
    </row>
    <row r="225" spans="1:17" x14ac:dyDescent="0.25">
      <c r="A225" t="str">
        <f>"2018-10-19 08:10:42"</f>
        <v>2018-10-19 08:10:42</v>
      </c>
      <c r="B225" s="1" t="str">
        <f>""</f>
        <v/>
      </c>
      <c r="C225" s="1" t="str">
        <f>"Olympic Judo Centre"</f>
        <v>Olympic Judo Centre</v>
      </c>
      <c r="D225" s="1" t="str">
        <f>"ON"</f>
        <v>ON</v>
      </c>
      <c r="E225" s="1" t="str">
        <f>"Ontario"</f>
        <v>Ontario</v>
      </c>
      <c r="F225" s="1" t="str">
        <f>"Sava"</f>
        <v>Sava</v>
      </c>
      <c r="G225" s="1" t="str">
        <f>"Antic"</f>
        <v>Antic</v>
      </c>
      <c r="H225" s="1" t="str">
        <f>"0149355"</f>
        <v>0149355</v>
      </c>
      <c r="I225" s="1" t="str">
        <f t="shared" si="25"/>
        <v>M</v>
      </c>
      <c r="J225" s="2">
        <v>2000</v>
      </c>
      <c r="K225" s="1" t="str">
        <f>"1D"</f>
        <v>1D</v>
      </c>
      <c r="L225" s="1" t="s">
        <v>65</v>
      </c>
      <c r="M225" s="1" t="str">
        <f t="shared" si="26"/>
        <v>-73</v>
      </c>
      <c r="N225" s="1" t="str">
        <f>""</f>
        <v/>
      </c>
      <c r="O225" s="1">
        <v>2</v>
      </c>
      <c r="P225" s="1"/>
      <c r="Q225" t="s">
        <v>75</v>
      </c>
    </row>
    <row r="226" spans="1:17" x14ac:dyDescent="0.25">
      <c r="A226" t="str">
        <f>"2018-10-20 23:33:27"</f>
        <v>2018-10-20 23:33:27</v>
      </c>
      <c r="B226" s="1" t="str">
        <f>""</f>
        <v/>
      </c>
      <c r="C226" s="1" t="str">
        <f>"Los Angeles Tenri Judo Dojo"</f>
        <v>Los Angeles Tenri Judo Dojo</v>
      </c>
      <c r="D226" s="1" t="s">
        <v>106</v>
      </c>
      <c r="E226" s="1" t="str">
        <f>"California"</f>
        <v>California</v>
      </c>
      <c r="F226" s="1" t="str">
        <f>"Corbin Keegan"</f>
        <v>Corbin Keegan</v>
      </c>
      <c r="G226" s="1" t="str">
        <f>"Balitactac"</f>
        <v>Balitactac</v>
      </c>
      <c r="H226" s="1" t="str">
        <f>"AutreFederation"</f>
        <v>AutreFederation</v>
      </c>
      <c r="I226" s="1" t="str">
        <f t="shared" si="25"/>
        <v>M</v>
      </c>
      <c r="J226" s="2">
        <v>2000</v>
      </c>
      <c r="K226" s="1" t="str">
        <f>"1D"</f>
        <v>1D</v>
      </c>
      <c r="L226" s="1" t="s">
        <v>65</v>
      </c>
      <c r="M226" s="1" t="str">
        <f t="shared" si="26"/>
        <v>-73</v>
      </c>
      <c r="N226" s="1" t="str">
        <f>"73 kg"</f>
        <v>73 kg</v>
      </c>
      <c r="O226" s="1">
        <v>2</v>
      </c>
      <c r="P226" s="1"/>
      <c r="Q226" t="s">
        <v>75</v>
      </c>
    </row>
    <row r="227" spans="1:17" x14ac:dyDescent="0.25">
      <c r="A227" t="str">
        <f>"2018-10-03 11:53:11"</f>
        <v>2018-10-03 11:53:11</v>
      </c>
      <c r="B227" s="1" t="str">
        <f>""</f>
        <v/>
      </c>
      <c r="C227" s="1" t="str">
        <f>"Club de judo Shidokan inc."</f>
        <v>Club de judo Shidokan inc.</v>
      </c>
      <c r="D227" s="1" t="str">
        <f>"QC"</f>
        <v>QC</v>
      </c>
      <c r="E227" s="1" t="str">
        <f>"Quebec"</f>
        <v>Quebec</v>
      </c>
      <c r="F227" s="1" t="str">
        <f>"Victor"</f>
        <v>Victor</v>
      </c>
      <c r="G227" s="1" t="str">
        <f>"Barriault"</f>
        <v>Barriault</v>
      </c>
      <c r="H227" s="1" t="str">
        <f>"0103442"</f>
        <v>0103442</v>
      </c>
      <c r="I227" s="1" t="str">
        <f t="shared" si="25"/>
        <v>M</v>
      </c>
      <c r="J227" s="2">
        <v>2000</v>
      </c>
      <c r="K227" s="1" t="str">
        <f>"1D"</f>
        <v>1D</v>
      </c>
      <c r="L227" s="1" t="s">
        <v>65</v>
      </c>
      <c r="M227" s="1" t="str">
        <f t="shared" si="26"/>
        <v>-73</v>
      </c>
      <c r="N227" s="1" t="str">
        <f>"-73"</f>
        <v>-73</v>
      </c>
      <c r="O227" s="1">
        <v>2</v>
      </c>
      <c r="P227" s="1"/>
      <c r="Q227" t="s">
        <v>75</v>
      </c>
    </row>
    <row r="228" spans="1:17" x14ac:dyDescent="0.25">
      <c r="B228" s="1" t="str">
        <f>""</f>
        <v/>
      </c>
      <c r="C228" s="1" t="str">
        <f>"Club de judo Shidokan inc."</f>
        <v>Club de judo Shidokan inc.</v>
      </c>
      <c r="D228" s="1" t="str">
        <f>"QC"</f>
        <v>QC</v>
      </c>
      <c r="E228" s="1" t="str">
        <f>"Quebec"</f>
        <v>Quebec</v>
      </c>
      <c r="F228" s="1" t="str">
        <f>"Daniel"</f>
        <v>Daniel</v>
      </c>
      <c r="G228" s="1" t="str">
        <f>"Chosack-Barkay"</f>
        <v>Chosack-Barkay</v>
      </c>
      <c r="H228" s="1" t="str">
        <f>"0148155"</f>
        <v>0148155</v>
      </c>
      <c r="I228" s="1" t="str">
        <f t="shared" si="25"/>
        <v>M</v>
      </c>
      <c r="J228" s="1">
        <v>2000</v>
      </c>
      <c r="K228" s="1" t="s">
        <v>110</v>
      </c>
      <c r="L228" s="1" t="s">
        <v>65</v>
      </c>
      <c r="M228" s="1" t="str">
        <f t="shared" si="26"/>
        <v>-73</v>
      </c>
      <c r="N228" s="1" t="str">
        <f>""</f>
        <v/>
      </c>
      <c r="O228" s="1">
        <v>2</v>
      </c>
      <c r="P228" s="1"/>
      <c r="Q228" t="s">
        <v>75</v>
      </c>
    </row>
    <row r="229" spans="1:17" x14ac:dyDescent="0.25">
      <c r="A229" t="str">
        <f>"2018-10-21 19:40:57"</f>
        <v>2018-10-21 19:40:57</v>
      </c>
      <c r="B229" s="1" t="str">
        <f>""</f>
        <v/>
      </c>
      <c r="C229" s="7" t="str">
        <f>"Cloverdale Judo Club"</f>
        <v>Cloverdale Judo Club</v>
      </c>
      <c r="D229" s="7" t="str">
        <f>"ON"</f>
        <v>ON</v>
      </c>
      <c r="E229" s="7" t="str">
        <f>"British Columbia"</f>
        <v>British Columbia</v>
      </c>
      <c r="F229" s="1" t="str">
        <f>"Philipp"</f>
        <v>Philipp</v>
      </c>
      <c r="G229" s="1" t="str">
        <f>"Dohm"</f>
        <v>Dohm</v>
      </c>
      <c r="H229" s="7" t="str">
        <f>"AutreFederation"</f>
        <v>AutreFederation</v>
      </c>
      <c r="I229" s="1" t="str">
        <f t="shared" si="25"/>
        <v>M</v>
      </c>
      <c r="J229" s="2">
        <v>1997</v>
      </c>
      <c r="K229" s="4" t="str">
        <f>"3k"</f>
        <v>3k</v>
      </c>
      <c r="L229" s="4" t="str">
        <f>"Senior"</f>
        <v>Senior</v>
      </c>
      <c r="M229" s="1" t="str">
        <f t="shared" si="26"/>
        <v>-73</v>
      </c>
      <c r="N229" s="1" t="str">
        <f>""</f>
        <v/>
      </c>
      <c r="O229" s="1">
        <v>1</v>
      </c>
      <c r="P229" s="1" t="s">
        <v>74</v>
      </c>
      <c r="Q229" t="s">
        <v>75</v>
      </c>
    </row>
    <row r="230" spans="1:17" x14ac:dyDescent="0.25">
      <c r="B230" s="1" t="str">
        <f>""</f>
        <v/>
      </c>
      <c r="C230" s="1" t="str">
        <f>"Yawara Force Judo"</f>
        <v>Yawara Force Judo</v>
      </c>
      <c r="D230" s="1" t="s">
        <v>106</v>
      </c>
      <c r="E230" s="1" t="str">
        <f>"Pennslyvania  USA"</f>
        <v>Pennslyvania  USA</v>
      </c>
      <c r="F230" s="1" t="str">
        <f>"Oleh"</f>
        <v>Oleh</v>
      </c>
      <c r="G230" s="1" t="str">
        <f>"Dopilko"</f>
        <v>Dopilko</v>
      </c>
      <c r="H230" s="1" t="str">
        <f>"AutreFederation"</f>
        <v>AutreFederation</v>
      </c>
      <c r="I230" s="1" t="str">
        <f t="shared" si="25"/>
        <v>M</v>
      </c>
      <c r="J230" s="1">
        <v>2000</v>
      </c>
      <c r="K230" s="1" t="s">
        <v>110</v>
      </c>
      <c r="L230" s="1" t="s">
        <v>65</v>
      </c>
      <c r="M230" s="1" t="str">
        <f t="shared" si="26"/>
        <v>-73</v>
      </c>
      <c r="N230" s="1" t="str">
        <f>""</f>
        <v/>
      </c>
      <c r="O230" s="1">
        <v>2</v>
      </c>
      <c r="P230" s="1"/>
      <c r="Q230" t="s">
        <v>75</v>
      </c>
    </row>
    <row r="231" spans="1:17" x14ac:dyDescent="0.25">
      <c r="A231" t="str">
        <f>"2018-10-03 11:53:11"</f>
        <v>2018-10-03 11:53:11</v>
      </c>
      <c r="B231" s="1" t="str">
        <f>""</f>
        <v/>
      </c>
      <c r="C231" s="1" t="str">
        <f>"Takahashi Dojo"</f>
        <v>Takahashi Dojo</v>
      </c>
      <c r="D231" s="1" t="str">
        <f>"ON"</f>
        <v>ON</v>
      </c>
      <c r="E231" s="1" t="str">
        <f>"Ontario"</f>
        <v>Ontario</v>
      </c>
      <c r="F231" s="1" t="str">
        <f>"Thomas"</f>
        <v>Thomas</v>
      </c>
      <c r="G231" s="1" t="str">
        <f>"Drolet"</f>
        <v>Drolet</v>
      </c>
      <c r="H231" s="1" t="str">
        <f>"0216076"</f>
        <v>0216076</v>
      </c>
      <c r="I231" s="1" t="str">
        <f t="shared" si="25"/>
        <v>M</v>
      </c>
      <c r="J231" s="2">
        <v>1993</v>
      </c>
      <c r="K231" s="4" t="str">
        <f>"2k"</f>
        <v>2k</v>
      </c>
      <c r="L231" s="4" t="str">
        <f>"Senior"</f>
        <v>Senior</v>
      </c>
      <c r="M231" s="1" t="str">
        <f t="shared" si="26"/>
        <v>-73</v>
      </c>
      <c r="N231" s="1" t="str">
        <f>""</f>
        <v/>
      </c>
      <c r="O231" s="1">
        <v>1</v>
      </c>
      <c r="P231" s="1" t="s">
        <v>74</v>
      </c>
      <c r="Q231" t="s">
        <v>75</v>
      </c>
    </row>
    <row r="232" spans="1:17" x14ac:dyDescent="0.25">
      <c r="A232" t="str">
        <f>"2018-10-03 11:53:11"</f>
        <v>2018-10-03 11:53:11</v>
      </c>
      <c r="B232" s="1" t="str">
        <f>""</f>
        <v/>
      </c>
      <c r="C232" s="1" t="str">
        <f>"Fujiyama Dojo Inc."</f>
        <v>Fujiyama Dojo Inc.</v>
      </c>
      <c r="D232" s="1" t="str">
        <f>"QC"</f>
        <v>QC</v>
      </c>
      <c r="E232" s="1" t="str">
        <f>"Quebec"</f>
        <v>Quebec</v>
      </c>
      <c r="F232" s="1" t="str">
        <f>"Harrison"</f>
        <v>Harrison</v>
      </c>
      <c r="G232" s="1" t="str">
        <f>"Dube"</f>
        <v>Dube</v>
      </c>
      <c r="H232" s="1" t="str">
        <f>"0230485"</f>
        <v>0230485</v>
      </c>
      <c r="I232" s="1" t="str">
        <f t="shared" si="25"/>
        <v>M</v>
      </c>
      <c r="J232" s="2">
        <v>1994</v>
      </c>
      <c r="K232" s="1" t="str">
        <f>"1k"</f>
        <v>1k</v>
      </c>
      <c r="L232" s="1" t="str">
        <f>"Senior"</f>
        <v>Senior</v>
      </c>
      <c r="M232" s="1" t="str">
        <f t="shared" si="26"/>
        <v>-73</v>
      </c>
      <c r="N232" s="1" t="str">
        <f>""</f>
        <v/>
      </c>
      <c r="O232" s="1">
        <v>1</v>
      </c>
      <c r="P232" s="1"/>
      <c r="Q232" t="s">
        <v>75</v>
      </c>
    </row>
    <row r="233" spans="1:17" x14ac:dyDescent="0.25">
      <c r="A233" t="str">
        <f>"2018-10-21 22:18:47"</f>
        <v>2018-10-21 22:18:47</v>
      </c>
      <c r="B233" s="1" t="str">
        <f>""</f>
        <v/>
      </c>
      <c r="C233" s="1" t="str">
        <f>"Selkirk Judo Club"</f>
        <v>Selkirk Judo Club</v>
      </c>
      <c r="D233" s="1" t="str">
        <f>"MB"</f>
        <v>MB</v>
      </c>
      <c r="E233" s="1" t="str">
        <f>"Manitoba"</f>
        <v>Manitoba</v>
      </c>
      <c r="F233" s="1" t="str">
        <f>"Damien"</f>
        <v>Damien</v>
      </c>
      <c r="G233" s="1" t="str">
        <f>"Ekosky"</f>
        <v>Ekosky</v>
      </c>
      <c r="H233" s="1" t="str">
        <f>"0156194"</f>
        <v>0156194</v>
      </c>
      <c r="I233" s="1" t="str">
        <f t="shared" si="25"/>
        <v>M</v>
      </c>
      <c r="J233" s="2">
        <v>1999</v>
      </c>
      <c r="K233" s="1" t="str">
        <f>"1D"</f>
        <v>1D</v>
      </c>
      <c r="L233" s="1" t="s">
        <v>65</v>
      </c>
      <c r="M233" s="1" t="str">
        <f t="shared" si="26"/>
        <v>-73</v>
      </c>
      <c r="N233" s="1" t="str">
        <f>""</f>
        <v/>
      </c>
      <c r="O233" s="1">
        <v>2</v>
      </c>
      <c r="P233" s="1"/>
      <c r="Q233" t="s">
        <v>75</v>
      </c>
    </row>
    <row r="234" spans="1:17" x14ac:dyDescent="0.25">
      <c r="A234" t="str">
        <f>"2018-10-21 18:45:38"</f>
        <v>2018-10-21 18:45:38</v>
      </c>
      <c r="B234" s="1" t="str">
        <f>""</f>
        <v/>
      </c>
      <c r="C234" s="1" t="str">
        <f>"Selkirk Judo Club"</f>
        <v>Selkirk Judo Club</v>
      </c>
      <c r="D234" s="1" t="str">
        <f>"MB"</f>
        <v>MB</v>
      </c>
      <c r="E234" s="1" t="str">
        <f>"Manitoba"</f>
        <v>Manitoba</v>
      </c>
      <c r="F234" s="1" t="str">
        <f>"Justin"</f>
        <v>Justin</v>
      </c>
      <c r="G234" s="1" t="str">
        <f>"Ekosky"</f>
        <v>Ekosky</v>
      </c>
      <c r="H234" s="1" t="str">
        <f>"0156195"</f>
        <v>0156195</v>
      </c>
      <c r="I234" s="1" t="str">
        <f t="shared" si="25"/>
        <v>M</v>
      </c>
      <c r="J234" s="2">
        <v>2001</v>
      </c>
      <c r="K234" s="1" t="str">
        <f>"1k"</f>
        <v>1k</v>
      </c>
      <c r="L234" s="1" t="s">
        <v>65</v>
      </c>
      <c r="M234" s="1" t="str">
        <f t="shared" si="26"/>
        <v>-73</v>
      </c>
      <c r="N234" s="1" t="str">
        <f>""</f>
        <v/>
      </c>
      <c r="O234" s="1">
        <v>2</v>
      </c>
      <c r="P234" s="1"/>
      <c r="Q234" t="s">
        <v>75</v>
      </c>
    </row>
    <row r="235" spans="1:17" x14ac:dyDescent="0.25">
      <c r="A235" t="str">
        <f>"2018-10-03 11:53:11"</f>
        <v>2018-10-03 11:53:11</v>
      </c>
      <c r="B235" s="1" t="str">
        <f>""</f>
        <v/>
      </c>
      <c r="C235" s="1" t="str">
        <f>"Club de judo Shidokan inc."</f>
        <v>Club de judo Shidokan inc.</v>
      </c>
      <c r="D235" s="1" t="str">
        <f>"QC"</f>
        <v>QC</v>
      </c>
      <c r="E235" s="1" t="str">
        <f>"Quebec"</f>
        <v>Quebec</v>
      </c>
      <c r="F235" s="1" t="str">
        <f>"Constantin"</f>
        <v>Constantin</v>
      </c>
      <c r="G235" s="1" t="str">
        <f>"Gabun"</f>
        <v>Gabun</v>
      </c>
      <c r="H235" s="1" t="str">
        <f>"0190253"</f>
        <v>0190253</v>
      </c>
      <c r="I235" s="1" t="str">
        <f t="shared" si="25"/>
        <v>M</v>
      </c>
      <c r="J235" s="2">
        <v>1998</v>
      </c>
      <c r="K235" s="1" t="str">
        <f>"1D"</f>
        <v>1D</v>
      </c>
      <c r="L235" s="1" t="str">
        <f>"Senior"</f>
        <v>Senior</v>
      </c>
      <c r="M235" s="1" t="str">
        <f t="shared" si="26"/>
        <v>-73</v>
      </c>
      <c r="N235" s="1" t="str">
        <f>""</f>
        <v/>
      </c>
      <c r="O235" s="1">
        <v>1</v>
      </c>
      <c r="P235" s="1"/>
      <c r="Q235" t="s">
        <v>75</v>
      </c>
    </row>
    <row r="236" spans="1:17" x14ac:dyDescent="0.25">
      <c r="A236" t="str">
        <f>"2018-10-21 18:43:14"</f>
        <v>2018-10-21 18:43:14</v>
      </c>
      <c r="B236" s="1" t="str">
        <f>""</f>
        <v/>
      </c>
      <c r="C236" s="1" t="str">
        <f>"Tolide Judo Kwai"</f>
        <v>Tolide Judo Kwai</v>
      </c>
      <c r="D236" s="1" t="str">
        <f>"AB"</f>
        <v>AB</v>
      </c>
      <c r="E236" s="1" t="str">
        <f>"Alberta"</f>
        <v>Alberta</v>
      </c>
      <c r="F236" s="1" t="str">
        <f>"Nicolas"</f>
        <v>Nicolas</v>
      </c>
      <c r="G236" s="1" t="str">
        <f>"Gagnon"</f>
        <v>Gagnon</v>
      </c>
      <c r="H236" s="1" t="str">
        <f>"0167303"</f>
        <v>0167303</v>
      </c>
      <c r="I236" s="1" t="str">
        <f t="shared" si="25"/>
        <v>M</v>
      </c>
      <c r="J236" s="2">
        <v>2001</v>
      </c>
      <c r="K236" s="1" t="str">
        <f>"1k"</f>
        <v>1k</v>
      </c>
      <c r="L236" s="1" t="s">
        <v>65</v>
      </c>
      <c r="M236" s="1" t="str">
        <f t="shared" si="26"/>
        <v>-73</v>
      </c>
      <c r="N236" s="1" t="str">
        <f>""</f>
        <v/>
      </c>
      <c r="O236" s="1">
        <v>2</v>
      </c>
      <c r="P236" s="1"/>
      <c r="Q236" t="s">
        <v>75</v>
      </c>
    </row>
    <row r="237" spans="1:17" x14ac:dyDescent="0.25">
      <c r="A237" t="str">
        <f>"2018-10-03 11:53:11"</f>
        <v>2018-10-03 11:53:11</v>
      </c>
      <c r="B237" s="1" t="str">
        <f>""</f>
        <v/>
      </c>
      <c r="C237" s="1" t="str">
        <f>"Club de Judo et de Ju-Jitsu Juvaldo inc."</f>
        <v>Club de Judo et de Ju-Jitsu Juvaldo inc.</v>
      </c>
      <c r="D237" s="1" t="str">
        <f>"QC"</f>
        <v>QC</v>
      </c>
      <c r="E237" s="1" t="str">
        <f>"Quebec"</f>
        <v>Quebec</v>
      </c>
      <c r="F237" s="1" t="str">
        <f>"Guillaume"</f>
        <v>Guillaume</v>
      </c>
      <c r="G237" s="1" t="str">
        <f>"Gaulin"</f>
        <v>Gaulin</v>
      </c>
      <c r="H237" s="1" t="str">
        <f>"0138661"</f>
        <v>0138661</v>
      </c>
      <c r="I237" s="1" t="str">
        <f t="shared" si="25"/>
        <v>M</v>
      </c>
      <c r="J237" s="2">
        <v>2002</v>
      </c>
      <c r="K237" s="1" t="str">
        <f>"1k"</f>
        <v>1k</v>
      </c>
      <c r="L237" s="1" t="s">
        <v>65</v>
      </c>
      <c r="M237" s="1" t="str">
        <f t="shared" si="26"/>
        <v>-73</v>
      </c>
      <c r="N237" s="1" t="str">
        <f>""</f>
        <v/>
      </c>
      <c r="O237" s="1">
        <v>2</v>
      </c>
      <c r="P237" s="1"/>
      <c r="Q237" t="s">
        <v>75</v>
      </c>
    </row>
    <row r="238" spans="1:17" x14ac:dyDescent="0.25">
      <c r="A238" t="str">
        <f>"2018-10-21 00:27:49"</f>
        <v>2018-10-21 00:27:49</v>
      </c>
      <c r="B238" s="1" t="str">
        <f>"2018-10-25 20:47:57"</f>
        <v>2018-10-25 20:47:57</v>
      </c>
      <c r="C238" s="1" t="str">
        <f>"Burnaby Judo Club"</f>
        <v>Burnaby Judo Club</v>
      </c>
      <c r="D238" s="1" t="str">
        <f>"BC"</f>
        <v>BC</v>
      </c>
      <c r="E238" s="1" t="str">
        <f>"British Columbia"</f>
        <v>British Columbia</v>
      </c>
      <c r="F238" s="1" t="str">
        <f>"Jaden"</f>
        <v>Jaden</v>
      </c>
      <c r="G238" s="1" t="str">
        <f>"Gauw"</f>
        <v>Gauw</v>
      </c>
      <c r="H238" s="1" t="str">
        <f>"0195666"</f>
        <v>0195666</v>
      </c>
      <c r="I238" s="1" t="str">
        <f t="shared" si="25"/>
        <v>M</v>
      </c>
      <c r="J238" s="2">
        <v>2002</v>
      </c>
      <c r="K238" s="10" t="s">
        <v>21</v>
      </c>
      <c r="L238" s="9" t="s">
        <v>65</v>
      </c>
      <c r="M238" s="1" t="str">
        <f t="shared" si="26"/>
        <v>-73</v>
      </c>
      <c r="N238" s="1" t="str">
        <f>""</f>
        <v/>
      </c>
      <c r="O238" s="1">
        <v>2</v>
      </c>
      <c r="P238" s="1"/>
      <c r="Q238" t="s">
        <v>75</v>
      </c>
    </row>
    <row r="239" spans="1:17" x14ac:dyDescent="0.25">
      <c r="A239" t="str">
        <f>"2018-10-15 10:16:21"</f>
        <v>2018-10-15 10:16:21</v>
      </c>
      <c r="B239" s="1" t="str">
        <f>""</f>
        <v/>
      </c>
      <c r="C239" s="1" t="str">
        <f>"Steveston Judo Club"</f>
        <v>Steveston Judo Club</v>
      </c>
      <c r="D239" s="1" t="str">
        <f>"BC"</f>
        <v>BC</v>
      </c>
      <c r="E239" s="1" t="str">
        <f>"British Columbia"</f>
        <v>British Columbia</v>
      </c>
      <c r="F239" s="1" t="str">
        <f>"Aytun"</f>
        <v>Aytun</v>
      </c>
      <c r="G239" s="1" t="str">
        <f>"Gill"</f>
        <v>Gill</v>
      </c>
      <c r="H239" s="1" t="str">
        <f>"0171059"</f>
        <v>0171059</v>
      </c>
      <c r="I239" s="1" t="str">
        <f t="shared" si="25"/>
        <v>M</v>
      </c>
      <c r="J239" s="2">
        <v>2001</v>
      </c>
      <c r="K239" s="1" t="str">
        <f>"1k"</f>
        <v>1k</v>
      </c>
      <c r="L239" s="1" t="s">
        <v>65</v>
      </c>
      <c r="M239" s="1" t="str">
        <f t="shared" si="26"/>
        <v>-73</v>
      </c>
      <c r="N239" s="1" t="str">
        <f>""</f>
        <v/>
      </c>
      <c r="O239" s="1">
        <v>2</v>
      </c>
      <c r="P239" s="1"/>
      <c r="Q239" t="s">
        <v>75</v>
      </c>
    </row>
    <row r="240" spans="1:17" x14ac:dyDescent="0.25">
      <c r="A240" t="str">
        <f>"2018-10-03 11:53:11"</f>
        <v>2018-10-03 11:53:11</v>
      </c>
      <c r="B240" s="1" t="str">
        <f>"2018-10-25 21:17:30"</f>
        <v>2018-10-25 21:17:30</v>
      </c>
      <c r="C240" s="1" t="str">
        <f>"Club de judo Shidokan inc."</f>
        <v>Club de judo Shidokan inc.</v>
      </c>
      <c r="D240" s="1" t="str">
        <f>"QC"</f>
        <v>QC</v>
      </c>
      <c r="E240" s="1" t="str">
        <f>"Quebec"</f>
        <v>Quebec</v>
      </c>
      <c r="F240" s="1" t="str">
        <f>"Victor"</f>
        <v>Victor</v>
      </c>
      <c r="G240" s="1" t="str">
        <f>"Gougeon-Gazé"</f>
        <v>Gougeon-Gazé</v>
      </c>
      <c r="H240" s="1" t="str">
        <f>"0154674"</f>
        <v>0154674</v>
      </c>
      <c r="I240" s="1" t="str">
        <f t="shared" si="25"/>
        <v>M</v>
      </c>
      <c r="J240" s="2">
        <v>2003</v>
      </c>
      <c r="K240" s="1" t="str">
        <f>"1k"</f>
        <v>1k</v>
      </c>
      <c r="L240" s="1" t="s">
        <v>65</v>
      </c>
      <c r="M240" s="1" t="str">
        <f t="shared" si="26"/>
        <v>-73</v>
      </c>
      <c r="N240" s="1" t="str">
        <f>""</f>
        <v/>
      </c>
      <c r="O240" s="1">
        <v>2</v>
      </c>
      <c r="P240" s="1"/>
      <c r="Q240" t="s">
        <v>75</v>
      </c>
    </row>
    <row r="241" spans="1:17" x14ac:dyDescent="0.25">
      <c r="A241" t="str">
        <f>"2018-10-25 11:25:04"</f>
        <v>2018-10-25 11:25:04</v>
      </c>
      <c r="B241" s="1" t="str">
        <f>""</f>
        <v/>
      </c>
      <c r="C241" s="1" t="str">
        <f>"Kiseki Judo"</f>
        <v>Kiseki Judo</v>
      </c>
      <c r="D241" s="1" t="str">
        <f>"QC"</f>
        <v>QC</v>
      </c>
      <c r="E241" s="1" t="str">
        <f>"Quebec"</f>
        <v>Quebec</v>
      </c>
      <c r="F241" s="1" t="str">
        <f>"William"</f>
        <v>William</v>
      </c>
      <c r="G241" s="1" t="str">
        <f>"Hardy-Abeloos"</f>
        <v>Hardy-Abeloos</v>
      </c>
      <c r="H241" s="1" t="str">
        <f>"0227413"</f>
        <v>0227413</v>
      </c>
      <c r="I241" s="1" t="str">
        <f t="shared" si="25"/>
        <v>M</v>
      </c>
      <c r="J241" s="2">
        <v>1998</v>
      </c>
      <c r="K241" s="1" t="str">
        <f>"1D"</f>
        <v>1D</v>
      </c>
      <c r="L241" s="1" t="str">
        <f>"Senior"</f>
        <v>Senior</v>
      </c>
      <c r="M241" s="1" t="str">
        <f t="shared" si="26"/>
        <v>-73</v>
      </c>
      <c r="N241" s="1" t="str">
        <f>""</f>
        <v/>
      </c>
      <c r="O241" s="1">
        <v>1</v>
      </c>
      <c r="P241" s="1"/>
      <c r="Q241" t="s">
        <v>75</v>
      </c>
    </row>
    <row r="242" spans="1:17" x14ac:dyDescent="0.25">
      <c r="A242" t="str">
        <f>"2018-10-17 22:05:02"</f>
        <v>2018-10-17 22:05:02</v>
      </c>
      <c r="B242" s="1" t="str">
        <f>""</f>
        <v/>
      </c>
      <c r="C242" s="1" t="str">
        <f>"Club de judo Shidokan inc."</f>
        <v>Club de judo Shidokan inc.</v>
      </c>
      <c r="D242" s="1" t="str">
        <f>"QC"</f>
        <v>QC</v>
      </c>
      <c r="E242" s="1" t="str">
        <f>"Quebec"</f>
        <v>Quebec</v>
      </c>
      <c r="F242" s="1" t="str">
        <f>"Orlando"</f>
        <v>Orlando</v>
      </c>
      <c r="G242" s="1" t="str">
        <f>"Horak"</f>
        <v>Horak</v>
      </c>
      <c r="H242" s="1" t="str">
        <f>"0194674"</f>
        <v>0194674</v>
      </c>
      <c r="I242" s="1" t="str">
        <f t="shared" si="25"/>
        <v>M</v>
      </c>
      <c r="J242" s="2">
        <v>2000</v>
      </c>
      <c r="K242" s="1" t="str">
        <f>"1D"</f>
        <v>1D</v>
      </c>
      <c r="L242" s="1" t="s">
        <v>65</v>
      </c>
      <c r="M242" s="1" t="str">
        <f t="shared" si="26"/>
        <v>-73</v>
      </c>
      <c r="N242" s="1" t="str">
        <f>"73"</f>
        <v>73</v>
      </c>
      <c r="O242" s="1">
        <v>2</v>
      </c>
      <c r="P242" s="1"/>
      <c r="Q242" t="s">
        <v>75</v>
      </c>
    </row>
    <row r="243" spans="1:17" x14ac:dyDescent="0.25">
      <c r="A243" t="str">
        <f>"2018-10-21 18:43:14"</f>
        <v>2018-10-21 18:43:14</v>
      </c>
      <c r="B243" s="1" t="str">
        <f>""</f>
        <v/>
      </c>
      <c r="C243" s="1" t="str">
        <f>"Kodokwai Judo Club"</f>
        <v>Kodokwai Judo Club</v>
      </c>
      <c r="D243" s="1" t="str">
        <f>"AB"</f>
        <v>AB</v>
      </c>
      <c r="E243" s="1" t="str">
        <f>"Alberta"</f>
        <v>Alberta</v>
      </c>
      <c r="F243" s="1" t="str">
        <f>"William (davis)"</f>
        <v>William (davis)</v>
      </c>
      <c r="G243" s="1" t="str">
        <f>"Johnston"</f>
        <v>Johnston</v>
      </c>
      <c r="H243" s="1" t="str">
        <f>"0166515"</f>
        <v>0166515</v>
      </c>
      <c r="I243" s="1" t="str">
        <f t="shared" si="25"/>
        <v>M</v>
      </c>
      <c r="J243" s="2">
        <v>2001</v>
      </c>
      <c r="K243" s="1" t="str">
        <f>"1k"</f>
        <v>1k</v>
      </c>
      <c r="L243" s="1" t="s">
        <v>65</v>
      </c>
      <c r="M243" s="1" t="str">
        <f t="shared" si="26"/>
        <v>-73</v>
      </c>
      <c r="N243" s="1" t="str">
        <f>""</f>
        <v/>
      </c>
      <c r="O243" s="1">
        <v>2</v>
      </c>
      <c r="P243" s="1"/>
      <c r="Q243" t="s">
        <v>75</v>
      </c>
    </row>
    <row r="244" spans="1:17" x14ac:dyDescent="0.25">
      <c r="A244" t="str">
        <f>"2018-09-27 09:07:22"</f>
        <v>2018-09-27 09:07:22</v>
      </c>
      <c r="B244" s="1" t="str">
        <f>""</f>
        <v/>
      </c>
      <c r="C244" s="1" t="str">
        <f>"Club de judo Shidokan inc."</f>
        <v>Club de judo Shidokan inc.</v>
      </c>
      <c r="D244" s="1" t="str">
        <f>"QC"</f>
        <v>QC</v>
      </c>
      <c r="E244" s="1" t="str">
        <f>"Quebec"</f>
        <v>Quebec</v>
      </c>
      <c r="F244" s="1" t="str">
        <f>"Bogdan"</f>
        <v>Bogdan</v>
      </c>
      <c r="G244" s="1" t="str">
        <f>"Jora"</f>
        <v>Jora</v>
      </c>
      <c r="H244" s="1" t="str">
        <f>"0163155"</f>
        <v>0163155</v>
      </c>
      <c r="I244" s="1" t="str">
        <f t="shared" si="25"/>
        <v>M</v>
      </c>
      <c r="J244" s="2">
        <v>2001</v>
      </c>
      <c r="K244" s="1" t="str">
        <f>"1D"</f>
        <v>1D</v>
      </c>
      <c r="L244" s="1" t="s">
        <v>65</v>
      </c>
      <c r="M244" s="1" t="str">
        <f t="shared" si="26"/>
        <v>-73</v>
      </c>
      <c r="N244" s="1" t="str">
        <f>""</f>
        <v/>
      </c>
      <c r="O244" s="1">
        <v>2</v>
      </c>
      <c r="P244" s="1"/>
      <c r="Q244" t="s">
        <v>75</v>
      </c>
    </row>
    <row r="245" spans="1:17" x14ac:dyDescent="0.25">
      <c r="A245" t="str">
        <f>"2018-10-03 11:53:11"</f>
        <v>2018-10-03 11:53:11</v>
      </c>
      <c r="B245" s="1" t="str">
        <f>""</f>
        <v/>
      </c>
      <c r="C245" s="1" t="str">
        <f>"Club de Judo Boucherville inc."</f>
        <v>Club de Judo Boucherville inc.</v>
      </c>
      <c r="D245" s="1" t="str">
        <f>"QC"</f>
        <v>QC</v>
      </c>
      <c r="E245" s="1" t="str">
        <f>"Quebec"</f>
        <v>Quebec</v>
      </c>
      <c r="F245" s="1" t="str">
        <f>"Gabriel"</f>
        <v>Gabriel</v>
      </c>
      <c r="G245" s="1" t="str">
        <f>"Juteau"</f>
        <v>Juteau</v>
      </c>
      <c r="H245" s="1" t="str">
        <f>"0088361"</f>
        <v>0088361</v>
      </c>
      <c r="I245" s="1" t="str">
        <f t="shared" si="25"/>
        <v>M</v>
      </c>
      <c r="J245" s="2">
        <v>1997</v>
      </c>
      <c r="K245" s="1" t="str">
        <f>"2D"</f>
        <v>2D</v>
      </c>
      <c r="L245" s="1" t="str">
        <f>"Senior"</f>
        <v>Senior</v>
      </c>
      <c r="M245" s="1" t="str">
        <f t="shared" si="26"/>
        <v>-73</v>
      </c>
      <c r="N245" s="1" t="str">
        <f>""</f>
        <v/>
      </c>
      <c r="O245" s="1">
        <v>1</v>
      </c>
      <c r="P245" s="1"/>
      <c r="Q245" t="s">
        <v>75</v>
      </c>
    </row>
    <row r="246" spans="1:17" x14ac:dyDescent="0.25">
      <c r="A246" t="str">
        <f>"2018-10-17 16:11:27"</f>
        <v>2018-10-17 16:11:27</v>
      </c>
      <c r="B246" s="1" t="str">
        <f>""</f>
        <v/>
      </c>
      <c r="C246" s="1" t="str">
        <f>"Valley Judo Institute"</f>
        <v>Valley Judo Institute</v>
      </c>
      <c r="D246" s="1" t="s">
        <v>106</v>
      </c>
      <c r="E246" s="1" t="str">
        <f>"United States"</f>
        <v>United States</v>
      </c>
      <c r="F246" s="1" t="str">
        <f>"Eric"</f>
        <v>Eric</v>
      </c>
      <c r="G246" s="1" t="str">
        <f>"Katrdzhyan"</f>
        <v>Katrdzhyan</v>
      </c>
      <c r="H246" s="1" t="str">
        <f>"AutreFederation"</f>
        <v>AutreFederation</v>
      </c>
      <c r="I246" s="1" t="str">
        <f t="shared" si="25"/>
        <v>M</v>
      </c>
      <c r="J246" s="2">
        <v>2002</v>
      </c>
      <c r="K246" s="1" t="str">
        <f>"1D"</f>
        <v>1D</v>
      </c>
      <c r="L246" s="1" t="s">
        <v>65</v>
      </c>
      <c r="M246" s="1" t="str">
        <f t="shared" si="26"/>
        <v>-73</v>
      </c>
      <c r="N246" s="1" t="str">
        <f>""</f>
        <v/>
      </c>
      <c r="O246" s="1">
        <v>2</v>
      </c>
      <c r="P246" s="1"/>
      <c r="Q246" t="s">
        <v>75</v>
      </c>
    </row>
    <row r="247" spans="1:17" x14ac:dyDescent="0.25">
      <c r="A247" t="str">
        <f>"2018-10-20 12:21:06"</f>
        <v>2018-10-20 12:21:06</v>
      </c>
      <c r="B247" s="1" t="str">
        <f>""</f>
        <v/>
      </c>
      <c r="C247" s="1" t="str">
        <f>"U Of M Judo Club"</f>
        <v>U Of M Judo Club</v>
      </c>
      <c r="D247" s="1" t="str">
        <f>"MB"</f>
        <v>MB</v>
      </c>
      <c r="E247" s="1" t="str">
        <f>"Manitoba"</f>
        <v>Manitoba</v>
      </c>
      <c r="F247" s="1" t="str">
        <f>"Shogun"</f>
        <v>Shogun</v>
      </c>
      <c r="G247" s="1" t="str">
        <f>"Laczko"</f>
        <v>Laczko</v>
      </c>
      <c r="H247" s="1" t="str">
        <f>"0174976"</f>
        <v>0174976</v>
      </c>
      <c r="I247" s="1" t="str">
        <f t="shared" si="25"/>
        <v>M</v>
      </c>
      <c r="J247" s="2">
        <v>2000</v>
      </c>
      <c r="K247" s="1" t="str">
        <f>"1D"</f>
        <v>1D</v>
      </c>
      <c r="L247" s="1" t="s">
        <v>65</v>
      </c>
      <c r="M247" s="1" t="str">
        <f t="shared" si="26"/>
        <v>-73</v>
      </c>
      <c r="N247" s="1" t="str">
        <f>""</f>
        <v/>
      </c>
      <c r="O247" s="1">
        <v>2</v>
      </c>
      <c r="P247" s="1"/>
      <c r="Q247" t="s">
        <v>75</v>
      </c>
    </row>
    <row r="248" spans="1:17" x14ac:dyDescent="0.25">
      <c r="A248" t="str">
        <f>"2018-09-29 15:04:29"</f>
        <v>2018-09-29 15:04:29</v>
      </c>
      <c r="B248" s="1" t="str">
        <f>""</f>
        <v/>
      </c>
      <c r="C248" s="1" t="str">
        <f>"AJAX Budokan"</f>
        <v>AJAX Budokan</v>
      </c>
      <c r="D248" s="1" t="str">
        <f>"ON"</f>
        <v>ON</v>
      </c>
      <c r="E248" s="1" t="str">
        <f>"Ontario"</f>
        <v>Ontario</v>
      </c>
      <c r="F248" s="1" t="str">
        <f>"Nicholas"</f>
        <v>Nicholas</v>
      </c>
      <c r="G248" s="1" t="str">
        <f>"Langlois"</f>
        <v>Langlois</v>
      </c>
      <c r="H248" s="1" t="str">
        <f>"0146599"</f>
        <v>0146599</v>
      </c>
      <c r="I248" s="1" t="str">
        <f t="shared" si="25"/>
        <v>M</v>
      </c>
      <c r="J248" s="2">
        <v>2001</v>
      </c>
      <c r="K248" s="1" t="str">
        <f>"1k"</f>
        <v>1k</v>
      </c>
      <c r="L248" s="1" t="s">
        <v>65</v>
      </c>
      <c r="M248" s="1" t="str">
        <f t="shared" si="26"/>
        <v>-73</v>
      </c>
      <c r="N248" s="1" t="str">
        <f>""</f>
        <v/>
      </c>
      <c r="O248" s="1">
        <v>2</v>
      </c>
      <c r="P248" s="1"/>
      <c r="Q248" t="s">
        <v>75</v>
      </c>
    </row>
    <row r="249" spans="1:17" x14ac:dyDescent="0.25">
      <c r="A249" t="str">
        <f>"2018-10-03 11:53:11"</f>
        <v>2018-10-03 11:53:11</v>
      </c>
      <c r="B249" s="1" t="str">
        <f>""</f>
        <v/>
      </c>
      <c r="C249" s="1" t="str">
        <f>"Pedro's Judo National Team Force"</f>
        <v>Pedro's Judo National Team Force</v>
      </c>
      <c r="D249" s="1" t="s">
        <v>106</v>
      </c>
      <c r="E249" s="1" t="str">
        <f>"Massachusetts"</f>
        <v>Massachusetts</v>
      </c>
      <c r="F249" s="1" t="str">
        <f>"Devin"</f>
        <v>Devin</v>
      </c>
      <c r="G249" s="1" t="str">
        <f>"Leggett"</f>
        <v>Leggett</v>
      </c>
      <c r="H249" s="1" t="str">
        <f>"AutreFederation"</f>
        <v>AutreFederation</v>
      </c>
      <c r="I249" s="1" t="str">
        <f t="shared" si="25"/>
        <v>M</v>
      </c>
      <c r="J249" s="2">
        <v>1998</v>
      </c>
      <c r="K249" s="1" t="str">
        <f>"1D"</f>
        <v>1D</v>
      </c>
      <c r="L249" s="1" t="str">
        <f>"Senior"</f>
        <v>Senior</v>
      </c>
      <c r="M249" s="1" t="str">
        <f t="shared" si="26"/>
        <v>-73</v>
      </c>
      <c r="N249" s="1" t="str">
        <f>""</f>
        <v/>
      </c>
      <c r="O249" s="1">
        <v>1</v>
      </c>
      <c r="P249" s="1"/>
      <c r="Q249" t="s">
        <v>75</v>
      </c>
    </row>
    <row r="250" spans="1:17" x14ac:dyDescent="0.25">
      <c r="A250" t="str">
        <f>"2018-10-18 21:43:54"</f>
        <v>2018-10-18 21:43:54</v>
      </c>
      <c r="B250" s="1" t="str">
        <f>""</f>
        <v/>
      </c>
      <c r="C250" s="1" t="str">
        <f>"Tora Judo Club"</f>
        <v>Tora Judo Club</v>
      </c>
      <c r="D250" s="1" t="str">
        <f>"ON"</f>
        <v>ON</v>
      </c>
      <c r="E250" s="1" t="str">
        <f>"Ontario"</f>
        <v>Ontario</v>
      </c>
      <c r="F250" s="1" t="str">
        <f>"James"</f>
        <v>James</v>
      </c>
      <c r="G250" s="1" t="str">
        <f>"Lonsdale"</f>
        <v>Lonsdale</v>
      </c>
      <c r="H250" s="1" t="str">
        <f>"0185886"</f>
        <v>0185886</v>
      </c>
      <c r="I250" s="1" t="str">
        <f t="shared" si="25"/>
        <v>M</v>
      </c>
      <c r="J250" s="2">
        <v>2002</v>
      </c>
      <c r="K250" s="1" t="str">
        <f>"1k"</f>
        <v>1k</v>
      </c>
      <c r="L250" s="1" t="s">
        <v>65</v>
      </c>
      <c r="M250" s="1" t="str">
        <f t="shared" si="26"/>
        <v>-73</v>
      </c>
      <c r="N250" s="1" t="str">
        <f>"-73kg"</f>
        <v>-73kg</v>
      </c>
      <c r="O250" s="1">
        <v>2</v>
      </c>
      <c r="P250" s="1"/>
      <c r="Q250" t="s">
        <v>75</v>
      </c>
    </row>
    <row r="251" spans="1:17" x14ac:dyDescent="0.25">
      <c r="A251" t="str">
        <f>"2018-10-19 08:10:42"</f>
        <v>2018-10-19 08:10:42</v>
      </c>
      <c r="B251" s="1" t="str">
        <f>""</f>
        <v/>
      </c>
      <c r="C251" s="1" t="str">
        <f>"Taifu Judo Club"</f>
        <v>Taifu Judo Club</v>
      </c>
      <c r="D251" s="1" t="str">
        <f>"ON"</f>
        <v>ON</v>
      </c>
      <c r="E251" s="1" t="str">
        <f>"Ontario"</f>
        <v>Ontario</v>
      </c>
      <c r="F251" s="1" t="str">
        <f>"Daniel"</f>
        <v>Daniel</v>
      </c>
      <c r="G251" s="1" t="str">
        <f>"Maman"</f>
        <v>Maman</v>
      </c>
      <c r="H251" s="1" t="str">
        <f>"0187136"</f>
        <v>0187136</v>
      </c>
      <c r="I251" s="1" t="str">
        <f t="shared" si="25"/>
        <v>M</v>
      </c>
      <c r="J251" s="2">
        <v>1999</v>
      </c>
      <c r="K251" s="1" t="str">
        <f>"1D"</f>
        <v>1D</v>
      </c>
      <c r="L251" s="1" t="s">
        <v>65</v>
      </c>
      <c r="M251" s="1" t="str">
        <f t="shared" si="26"/>
        <v>-73</v>
      </c>
      <c r="N251" s="1" t="str">
        <f>"-73"</f>
        <v>-73</v>
      </c>
      <c r="O251" s="1">
        <v>2</v>
      </c>
      <c r="P251" s="1"/>
      <c r="Q251" t="s">
        <v>75</v>
      </c>
    </row>
    <row r="252" spans="1:17" x14ac:dyDescent="0.25">
      <c r="A252" t="str">
        <f>"2018-09-27 09:07:22"</f>
        <v>2018-09-27 09:07:22</v>
      </c>
      <c r="B252" s="1" t="str">
        <f>""</f>
        <v/>
      </c>
      <c r="C252" s="1" t="str">
        <f>"Club de judo Seiko"</f>
        <v>Club de judo Seiko</v>
      </c>
      <c r="D252" s="1" t="str">
        <f>"QC"</f>
        <v>QC</v>
      </c>
      <c r="E252" s="1" t="str">
        <f>"Quebec"</f>
        <v>Quebec</v>
      </c>
      <c r="F252" s="1" t="str">
        <f>"Jules"</f>
        <v>Jules</v>
      </c>
      <c r="G252" s="1" t="str">
        <f>"Martin"</f>
        <v>Martin</v>
      </c>
      <c r="H252" s="1" t="str">
        <f>"0102045"</f>
        <v>0102045</v>
      </c>
      <c r="I252" s="1" t="str">
        <f t="shared" si="25"/>
        <v>M</v>
      </c>
      <c r="J252" s="2">
        <v>2001</v>
      </c>
      <c r="K252" s="1" t="str">
        <f>"1D"</f>
        <v>1D</v>
      </c>
      <c r="L252" s="1" t="s">
        <v>65</v>
      </c>
      <c r="M252" s="1" t="str">
        <f t="shared" si="26"/>
        <v>-73</v>
      </c>
      <c r="N252" s="1" t="str">
        <f>""</f>
        <v/>
      </c>
      <c r="O252" s="1">
        <v>2</v>
      </c>
      <c r="P252" s="1"/>
      <c r="Q252" t="s">
        <v>75</v>
      </c>
    </row>
    <row r="253" spans="1:17" x14ac:dyDescent="0.25">
      <c r="A253" t="str">
        <f>"2018-10-21 00:27:49"</f>
        <v>2018-10-21 00:27:49</v>
      </c>
      <c r="B253" s="1" t="str">
        <f>""</f>
        <v/>
      </c>
      <c r="C253" s="1" t="str">
        <f>"Associaçao de Judo UNIMES"</f>
        <v>Associaçao de Judo UNIMES</v>
      </c>
      <c r="D253" s="1" t="s">
        <v>164</v>
      </c>
      <c r="E253" s="1" t="str">
        <f>"Brazil"</f>
        <v>Brazil</v>
      </c>
      <c r="F253" s="1" t="str">
        <f>"Gustavo"</f>
        <v>Gustavo</v>
      </c>
      <c r="G253" s="1" t="str">
        <f>"Mendes"</f>
        <v>Mendes</v>
      </c>
      <c r="H253" s="1" t="str">
        <f>"AutreFederation"</f>
        <v>AutreFederation</v>
      </c>
      <c r="I253" s="1" t="str">
        <f t="shared" si="25"/>
        <v>M</v>
      </c>
      <c r="J253" s="2">
        <v>2000</v>
      </c>
      <c r="K253" s="1" t="str">
        <f>"1D"</f>
        <v>1D</v>
      </c>
      <c r="L253" s="1" t="s">
        <v>65</v>
      </c>
      <c r="M253" s="1" t="str">
        <f t="shared" si="26"/>
        <v>-73</v>
      </c>
      <c r="N253" s="1" t="str">
        <f>""</f>
        <v/>
      </c>
      <c r="O253" s="1">
        <v>2</v>
      </c>
      <c r="P253" s="1"/>
      <c r="Q253" t="s">
        <v>75</v>
      </c>
    </row>
    <row r="254" spans="1:17" x14ac:dyDescent="0.25">
      <c r="A254" t="str">
        <f>"2018-10-03 11:53:11"</f>
        <v>2018-10-03 11:53:11</v>
      </c>
      <c r="B254" s="1" t="str">
        <f>""</f>
        <v/>
      </c>
      <c r="C254" s="1" t="str">
        <f>"Kiseki Judo"</f>
        <v>Kiseki Judo</v>
      </c>
      <c r="D254" s="1" t="str">
        <f>"QC"</f>
        <v>QC</v>
      </c>
      <c r="E254" s="1" t="str">
        <f>"Quebec"</f>
        <v>Quebec</v>
      </c>
      <c r="F254" s="1" t="str">
        <f>"Peterson"</f>
        <v>Peterson</v>
      </c>
      <c r="G254" s="1" t="str">
        <f>"Meneus"</f>
        <v>Meneus</v>
      </c>
      <c r="H254" s="1" t="str">
        <f>"0410475"</f>
        <v>0410475</v>
      </c>
      <c r="I254" s="1" t="str">
        <f t="shared" si="25"/>
        <v>M</v>
      </c>
      <c r="J254" s="2">
        <v>1989</v>
      </c>
      <c r="K254" s="1" t="str">
        <f>"1D"</f>
        <v>1D</v>
      </c>
      <c r="L254" s="1" t="str">
        <f>"Senior"</f>
        <v>Senior</v>
      </c>
      <c r="M254" s="1" t="str">
        <f t="shared" si="26"/>
        <v>-73</v>
      </c>
      <c r="N254" s="1" t="str">
        <f>""</f>
        <v/>
      </c>
      <c r="O254" s="1">
        <v>1</v>
      </c>
      <c r="P254" s="1"/>
      <c r="Q254" t="s">
        <v>75</v>
      </c>
    </row>
    <row r="255" spans="1:17" x14ac:dyDescent="0.25">
      <c r="A255" t="str">
        <f>"2018-10-03 11:53:11"</f>
        <v>2018-10-03 11:53:11</v>
      </c>
      <c r="B255" s="1" t="str">
        <f>""</f>
        <v/>
      </c>
      <c r="C255" s="1" t="str">
        <f>"Kiseki Judo"</f>
        <v>Kiseki Judo</v>
      </c>
      <c r="D255" s="1" t="str">
        <f>"QC"</f>
        <v>QC</v>
      </c>
      <c r="E255" s="1" t="str">
        <f>"Quebec"</f>
        <v>Quebec</v>
      </c>
      <c r="F255" s="1" t="str">
        <f>"Philippe-Abel"</f>
        <v>Philippe-Abel</v>
      </c>
      <c r="G255" s="1" t="str">
        <f>"Metellus"</f>
        <v>Metellus</v>
      </c>
      <c r="H255" s="1" t="str">
        <f>"0155280"</f>
        <v>0155280</v>
      </c>
      <c r="I255" s="1" t="str">
        <f t="shared" si="25"/>
        <v>M</v>
      </c>
      <c r="J255" s="2">
        <v>1990</v>
      </c>
      <c r="K255" s="1" t="str">
        <f>"1D"</f>
        <v>1D</v>
      </c>
      <c r="L255" s="1" t="str">
        <f>"Senior"</f>
        <v>Senior</v>
      </c>
      <c r="M255" s="1" t="str">
        <f t="shared" si="26"/>
        <v>-73</v>
      </c>
      <c r="N255" s="1" t="str">
        <f>""</f>
        <v/>
      </c>
      <c r="O255" s="1">
        <v>1</v>
      </c>
      <c r="P255" s="1"/>
      <c r="Q255" t="s">
        <v>75</v>
      </c>
    </row>
    <row r="256" spans="1:17" x14ac:dyDescent="0.25">
      <c r="A256" t="str">
        <f>"2018-10-21 19:34:17"</f>
        <v>2018-10-21 19:34:17</v>
      </c>
      <c r="B256" s="1" t="str">
        <f>""</f>
        <v/>
      </c>
      <c r="C256" s="1" t="str">
        <f>"Burnaby Judo Club"</f>
        <v>Burnaby Judo Club</v>
      </c>
      <c r="D256" s="1" t="str">
        <f>"BC"</f>
        <v>BC</v>
      </c>
      <c r="E256" s="1" t="str">
        <f>"British Columbia"</f>
        <v>British Columbia</v>
      </c>
      <c r="F256" s="1" t="str">
        <f>"Thomas"</f>
        <v>Thomas</v>
      </c>
      <c r="G256" s="1" t="str">
        <f>"Okamura"</f>
        <v>Okamura</v>
      </c>
      <c r="H256" s="1" t="str">
        <f>"0013406"</f>
        <v>0013406</v>
      </c>
      <c r="I256" s="1" t="str">
        <f t="shared" si="25"/>
        <v>M</v>
      </c>
      <c r="J256" s="2">
        <v>1991</v>
      </c>
      <c r="K256" s="1" t="str">
        <f>"3D"</f>
        <v>3D</v>
      </c>
      <c r="L256" s="1" t="str">
        <f>"Senior"</f>
        <v>Senior</v>
      </c>
      <c r="M256" s="1" t="str">
        <f t="shared" si="26"/>
        <v>-73</v>
      </c>
      <c r="N256" s="1" t="str">
        <f>""</f>
        <v/>
      </c>
      <c r="O256" s="1">
        <v>1</v>
      </c>
      <c r="P256" s="1"/>
      <c r="Q256" t="s">
        <v>75</v>
      </c>
    </row>
    <row r="257" spans="1:17" x14ac:dyDescent="0.25">
      <c r="A257" t="str">
        <f t="shared" ref="A257:A262" si="27">"2018-10-03 11:53:11"</f>
        <v>2018-10-03 11:53:11</v>
      </c>
      <c r="B257" s="1" t="str">
        <f>""</f>
        <v/>
      </c>
      <c r="C257" s="1" t="str">
        <f>"Club judo St-Leonard"</f>
        <v>Club judo St-Leonard</v>
      </c>
      <c r="D257" s="1" t="str">
        <f>"QC"</f>
        <v>QC</v>
      </c>
      <c r="E257" s="1" t="str">
        <f>"Quebec"</f>
        <v>Quebec</v>
      </c>
      <c r="F257" s="1" t="str">
        <f>"Wassim"</f>
        <v>Wassim</v>
      </c>
      <c r="G257" s="1" t="str">
        <f>"Ouali"</f>
        <v>Ouali</v>
      </c>
      <c r="H257" s="1" t="str">
        <f>"0103868"</f>
        <v>0103868</v>
      </c>
      <c r="I257" s="1" t="str">
        <f t="shared" si="25"/>
        <v>M</v>
      </c>
      <c r="J257" s="2">
        <v>2000</v>
      </c>
      <c r="K257" s="1" t="str">
        <f>"1D"</f>
        <v>1D</v>
      </c>
      <c r="L257" s="1" t="s">
        <v>65</v>
      </c>
      <c r="M257" s="1" t="str">
        <f t="shared" si="26"/>
        <v>-73</v>
      </c>
      <c r="N257" s="1" t="str">
        <f>""</f>
        <v/>
      </c>
      <c r="O257" s="1">
        <v>2</v>
      </c>
      <c r="P257" s="1"/>
      <c r="Q257" t="s">
        <v>75</v>
      </c>
    </row>
    <row r="258" spans="1:17" x14ac:dyDescent="0.25">
      <c r="A258" t="str">
        <f t="shared" si="27"/>
        <v>2018-10-03 11:53:11</v>
      </c>
      <c r="B258" s="1" t="str">
        <f>""</f>
        <v/>
      </c>
      <c r="C258" s="1" t="str">
        <f>"Tech Judo"</f>
        <v>Tech Judo</v>
      </c>
      <c r="D258" s="1" t="s">
        <v>106</v>
      </c>
      <c r="E258" s="1" t="str">
        <f>"New Jersey"</f>
        <v>New Jersey</v>
      </c>
      <c r="F258" s="1" t="str">
        <f>"Salama"</f>
        <v>Salama</v>
      </c>
      <c r="G258" s="1" t="str">
        <f>"Salem"</f>
        <v>Salem</v>
      </c>
      <c r="H258" s="1" t="str">
        <f>"AutreFederation"</f>
        <v>AutreFederation</v>
      </c>
      <c r="I258" s="1" t="str">
        <f t="shared" si="25"/>
        <v>M</v>
      </c>
      <c r="J258" s="2">
        <v>1990</v>
      </c>
      <c r="K258" s="1" t="str">
        <f>"2D"</f>
        <v>2D</v>
      </c>
      <c r="L258" s="1" t="str">
        <f>"Senior"</f>
        <v>Senior</v>
      </c>
      <c r="M258" s="1" t="str">
        <f t="shared" si="26"/>
        <v>-73</v>
      </c>
      <c r="N258" s="1" t="str">
        <f>""</f>
        <v/>
      </c>
      <c r="O258" s="1">
        <v>1</v>
      </c>
      <c r="P258" s="1"/>
      <c r="Q258" t="s">
        <v>75</v>
      </c>
    </row>
    <row r="259" spans="1:17" x14ac:dyDescent="0.25">
      <c r="A259" t="str">
        <f t="shared" si="27"/>
        <v>2018-10-03 11:53:11</v>
      </c>
      <c r="B259" s="1" t="str">
        <f>""</f>
        <v/>
      </c>
      <c r="C259" s="1" t="str">
        <f>"Ju No Ri Watrous Judo Club"</f>
        <v>Ju No Ri Watrous Judo Club</v>
      </c>
      <c r="D259" s="1" t="str">
        <f>"SK"</f>
        <v>SK</v>
      </c>
      <c r="E259" s="1" t="str">
        <f>"Saskatchewan"</f>
        <v>Saskatchewan</v>
      </c>
      <c r="F259" s="1" t="str">
        <f>"Warren"</f>
        <v>Warren</v>
      </c>
      <c r="G259" s="1" t="str">
        <f>"Seib"</f>
        <v>Seib</v>
      </c>
      <c r="H259" s="1" t="str">
        <f>"0013554"</f>
        <v>0013554</v>
      </c>
      <c r="I259" s="1" t="str">
        <f t="shared" si="25"/>
        <v>M</v>
      </c>
      <c r="J259" s="2">
        <v>1992</v>
      </c>
      <c r="K259" s="1" t="str">
        <f>"2D"</f>
        <v>2D</v>
      </c>
      <c r="L259" s="1" t="str">
        <f>"Senior"</f>
        <v>Senior</v>
      </c>
      <c r="M259" s="1" t="str">
        <f t="shared" si="26"/>
        <v>-73</v>
      </c>
      <c r="N259" s="1" t="str">
        <f>""</f>
        <v/>
      </c>
      <c r="O259" s="1">
        <v>1</v>
      </c>
      <c r="P259" s="1"/>
      <c r="Q259" t="s">
        <v>75</v>
      </c>
    </row>
    <row r="260" spans="1:17" x14ac:dyDescent="0.25">
      <c r="A260" t="str">
        <f t="shared" si="27"/>
        <v>2018-10-03 11:53:11</v>
      </c>
      <c r="B260" s="1" t="str">
        <f>""</f>
        <v/>
      </c>
      <c r="C260" s="1" t="str">
        <f>"Club de judo Torii"</f>
        <v>Club de judo Torii</v>
      </c>
      <c r="D260" s="1" t="str">
        <f>"QC"</f>
        <v>QC</v>
      </c>
      <c r="E260" s="1" t="str">
        <f>"Quebec"</f>
        <v>Quebec</v>
      </c>
      <c r="F260" s="1" t="str">
        <f>"Cedric"</f>
        <v>Cedric</v>
      </c>
      <c r="G260" s="1" t="str">
        <f>"Stawarz"</f>
        <v>Stawarz</v>
      </c>
      <c r="H260" s="1" t="str">
        <f>"0088516"</f>
        <v>0088516</v>
      </c>
      <c r="I260" s="1" t="str">
        <f t="shared" si="25"/>
        <v>M</v>
      </c>
      <c r="J260" s="2">
        <v>1995</v>
      </c>
      <c r="K260" s="1" t="str">
        <f>"3D"</f>
        <v>3D</v>
      </c>
      <c r="L260" s="1" t="str">
        <f>"Senior"</f>
        <v>Senior</v>
      </c>
      <c r="M260" s="1" t="str">
        <f t="shared" si="26"/>
        <v>-73</v>
      </c>
      <c r="N260" s="1" t="str">
        <f>""</f>
        <v/>
      </c>
      <c r="O260" s="1">
        <v>1</v>
      </c>
      <c r="P260" s="1"/>
      <c r="Q260" t="s">
        <v>75</v>
      </c>
    </row>
    <row r="261" spans="1:17" x14ac:dyDescent="0.25">
      <c r="A261" t="str">
        <f t="shared" si="27"/>
        <v>2018-10-03 11:53:11</v>
      </c>
      <c r="B261" s="1" t="str">
        <f>""</f>
        <v/>
      </c>
      <c r="C261" s="1" t="str">
        <f>"Club de judo Torii"</f>
        <v>Club de judo Torii</v>
      </c>
      <c r="D261" s="1" t="str">
        <f>"QC"</f>
        <v>QC</v>
      </c>
      <c r="E261" s="1" t="str">
        <f>"Quebec"</f>
        <v>Quebec</v>
      </c>
      <c r="F261" s="1" t="str">
        <f>"Mael"</f>
        <v>Mael</v>
      </c>
      <c r="G261" s="1" t="str">
        <f>"Stawarz"</f>
        <v>Stawarz</v>
      </c>
      <c r="H261" s="1" t="str">
        <f>"0095852"</f>
        <v>0095852</v>
      </c>
      <c r="I261" s="1" t="str">
        <f t="shared" si="25"/>
        <v>M</v>
      </c>
      <c r="J261" s="2">
        <v>1997</v>
      </c>
      <c r="K261" s="1" t="str">
        <f>"1D"</f>
        <v>1D</v>
      </c>
      <c r="L261" s="1" t="str">
        <f>"Senior"</f>
        <v>Senior</v>
      </c>
      <c r="M261" s="1" t="str">
        <f t="shared" si="26"/>
        <v>-73</v>
      </c>
      <c r="N261" s="1" t="str">
        <f>""</f>
        <v/>
      </c>
      <c r="O261" s="1">
        <v>1</v>
      </c>
      <c r="P261" s="1"/>
      <c r="Q261" t="s">
        <v>75</v>
      </c>
    </row>
    <row r="262" spans="1:17" x14ac:dyDescent="0.25">
      <c r="A262" t="str">
        <f t="shared" si="27"/>
        <v>2018-10-03 11:53:11</v>
      </c>
      <c r="B262" s="1" t="str">
        <f>""</f>
        <v/>
      </c>
      <c r="C262" s="1" t="str">
        <f>"Tech Judo"</f>
        <v>Tech Judo</v>
      </c>
      <c r="D262" s="1" t="s">
        <v>106</v>
      </c>
      <c r="E262" s="1" t="str">
        <f>"new jersey"</f>
        <v>new jersey</v>
      </c>
      <c r="F262" s="1" t="str">
        <f>"Leonardo"</f>
        <v>Leonardo</v>
      </c>
      <c r="G262" s="1" t="str">
        <f>"Subiza"</f>
        <v>Subiza</v>
      </c>
      <c r="H262" s="1" t="str">
        <f>"AutreFederation"</f>
        <v>AutreFederation</v>
      </c>
      <c r="I262" s="1" t="str">
        <f t="shared" si="25"/>
        <v>M</v>
      </c>
      <c r="J262" s="2">
        <v>1996</v>
      </c>
      <c r="K262" s="1" t="str">
        <f>"1D"</f>
        <v>1D</v>
      </c>
      <c r="L262" s="1" t="str">
        <f>"Senior"</f>
        <v>Senior</v>
      </c>
      <c r="M262" s="1" t="str">
        <f t="shared" si="26"/>
        <v>-73</v>
      </c>
      <c r="N262" s="1" t="str">
        <f>""</f>
        <v/>
      </c>
      <c r="O262" s="1">
        <v>1</v>
      </c>
      <c r="P262" s="1"/>
      <c r="Q262" t="s">
        <v>75</v>
      </c>
    </row>
    <row r="263" spans="1:17" x14ac:dyDescent="0.25">
      <c r="A263" t="str">
        <f>"2018-10-25 17:41:07"</f>
        <v>2018-10-25 17:41:07</v>
      </c>
      <c r="B263" s="1" t="str">
        <f>""</f>
        <v/>
      </c>
      <c r="C263" s="1" t="str">
        <f>"Atlantic Training Center"</f>
        <v>Atlantic Training Center</v>
      </c>
      <c r="D263" s="1" t="str">
        <f>"NS"</f>
        <v>NS</v>
      </c>
      <c r="E263" s="1" t="str">
        <f>"Nova Scotia"</f>
        <v>Nova Scotia</v>
      </c>
      <c r="F263" s="1" t="str">
        <f>"Max"</f>
        <v>Max</v>
      </c>
      <c r="G263" s="1" t="str">
        <f>"Teeuwen"</f>
        <v>Teeuwen</v>
      </c>
      <c r="H263" s="1" t="str">
        <f>"0174868"</f>
        <v>0174868</v>
      </c>
      <c r="I263" s="1" t="str">
        <f t="shared" si="25"/>
        <v>M</v>
      </c>
      <c r="J263" s="2">
        <v>1999</v>
      </c>
      <c r="K263" s="1" t="str">
        <f>"1D"</f>
        <v>1D</v>
      </c>
      <c r="L263" s="1" t="s">
        <v>65</v>
      </c>
      <c r="M263" s="1" t="str">
        <f t="shared" si="26"/>
        <v>-73</v>
      </c>
      <c r="N263" s="1" t="str">
        <f>"-73kg"</f>
        <v>-73kg</v>
      </c>
      <c r="O263" s="1">
        <v>2</v>
      </c>
      <c r="P263" s="1"/>
      <c r="Q263" t="s">
        <v>75</v>
      </c>
    </row>
    <row r="264" spans="1:17" x14ac:dyDescent="0.25">
      <c r="A264" t="str">
        <f>"2018-10-03 11:53:11"</f>
        <v>2018-10-03 11:53:11</v>
      </c>
      <c r="B264" s="1" t="str">
        <f>""</f>
        <v/>
      </c>
      <c r="C264" s="1" t="str">
        <f>"Club de judo Olympique"</f>
        <v>Club de judo Olympique</v>
      </c>
      <c r="D264" s="1" t="str">
        <f>"QC"</f>
        <v>QC</v>
      </c>
      <c r="E264" s="1" t="str">
        <f>"Quebec"</f>
        <v>Quebec</v>
      </c>
      <c r="F264" s="1" t="str">
        <f>"Gabriel"</f>
        <v>Gabriel</v>
      </c>
      <c r="G264" s="1" t="str">
        <f>"Vacc"</f>
        <v>Vacc</v>
      </c>
      <c r="H264" s="1" t="str">
        <f>"0206779"</f>
        <v>0206779</v>
      </c>
      <c r="I264" s="1" t="str">
        <f t="shared" si="25"/>
        <v>M</v>
      </c>
      <c r="J264" s="2">
        <v>1987</v>
      </c>
      <c r="K264" s="1" t="str">
        <f>"2D"</f>
        <v>2D</v>
      </c>
      <c r="L264" s="1" t="str">
        <f>"Senior"</f>
        <v>Senior</v>
      </c>
      <c r="M264" s="1" t="str">
        <f t="shared" si="26"/>
        <v>-73</v>
      </c>
      <c r="N264" s="1" t="str">
        <f>""</f>
        <v/>
      </c>
      <c r="O264" s="1">
        <v>1</v>
      </c>
      <c r="P264" s="1"/>
      <c r="Q264" t="s">
        <v>75</v>
      </c>
    </row>
    <row r="265" spans="1:17" x14ac:dyDescent="0.25">
      <c r="A265" t="str">
        <f>"2018-10-03 11:53:11"</f>
        <v>2018-10-03 11:53:11</v>
      </c>
      <c r="B265" s="1" t="str">
        <f>""</f>
        <v/>
      </c>
      <c r="C265" s="1" t="str">
        <f>"Club de Judo et de Ju-Jitsu Juvaldo inc."</f>
        <v>Club de Judo et de Ju-Jitsu Juvaldo inc.</v>
      </c>
      <c r="D265" s="1" t="str">
        <f>"QC"</f>
        <v>QC</v>
      </c>
      <c r="E265" s="1" t="str">
        <f>"Quebec"</f>
        <v>Quebec</v>
      </c>
      <c r="F265" s="1" t="str">
        <f>"Louka"</f>
        <v>Louka</v>
      </c>
      <c r="G265" s="1" t="str">
        <f>"Vallière"</f>
        <v>Vallière</v>
      </c>
      <c r="H265" s="1" t="str">
        <f>"0175413"</f>
        <v>0175413</v>
      </c>
      <c r="I265" s="1" t="str">
        <f t="shared" si="25"/>
        <v>M</v>
      </c>
      <c r="J265" s="2">
        <v>2001</v>
      </c>
      <c r="K265" s="1" t="str">
        <f>"1k"</f>
        <v>1k</v>
      </c>
      <c r="L265" s="1" t="s">
        <v>65</v>
      </c>
      <c r="M265" s="1" t="str">
        <f t="shared" si="26"/>
        <v>-73</v>
      </c>
      <c r="N265" s="1" t="str">
        <f>""</f>
        <v/>
      </c>
      <c r="O265" s="1">
        <v>2</v>
      </c>
      <c r="P265" s="1"/>
      <c r="Q265" t="s">
        <v>75</v>
      </c>
    </row>
    <row r="266" spans="1:17" x14ac:dyDescent="0.25">
      <c r="A266" t="str">
        <f>"2018-10-19 07:55:35"</f>
        <v>2018-10-19 07:55:35</v>
      </c>
      <c r="B266" s="1" t="str">
        <f>""</f>
        <v/>
      </c>
      <c r="C266" s="1" t="str">
        <f>"AJAX Budokan"</f>
        <v>AJAX Budokan</v>
      </c>
      <c r="D266" s="1" t="str">
        <f>"ON"</f>
        <v>ON</v>
      </c>
      <c r="E266" s="1" t="str">
        <f>"Ontario"</f>
        <v>Ontario</v>
      </c>
      <c r="F266" s="1" t="str">
        <f>"Keagan"</f>
        <v>Keagan</v>
      </c>
      <c r="G266" s="1" t="str">
        <f>"Young"</f>
        <v>Young</v>
      </c>
      <c r="H266" s="1" t="str">
        <f>"0141626"</f>
        <v>0141626</v>
      </c>
      <c r="I266" s="1" t="str">
        <f t="shared" si="25"/>
        <v>M</v>
      </c>
      <c r="J266" s="2">
        <v>2001</v>
      </c>
      <c r="K266" s="1" t="str">
        <f>"1D"</f>
        <v>1D</v>
      </c>
      <c r="L266" s="1" t="s">
        <v>65</v>
      </c>
      <c r="M266" s="1" t="str">
        <f t="shared" si="26"/>
        <v>-73</v>
      </c>
      <c r="N266" s="1" t="str">
        <f>""</f>
        <v/>
      </c>
      <c r="O266" s="1">
        <v>2</v>
      </c>
      <c r="P266" s="1"/>
      <c r="Q266" t="s">
        <v>75</v>
      </c>
    </row>
    <row r="267" spans="1:17" x14ac:dyDescent="0.25">
      <c r="A267" t="str">
        <f>"2018-10-20 23:33:27"</f>
        <v>2018-10-20 23:33:27</v>
      </c>
      <c r="B267" s="1" t="str">
        <f>""</f>
        <v/>
      </c>
      <c r="C267" s="1" t="str">
        <f>"Hart Judo Academy"</f>
        <v>Hart Judo Academy</v>
      </c>
      <c r="D267" s="1" t="str">
        <f>"BC"</f>
        <v>BC</v>
      </c>
      <c r="E267" s="1" t="str">
        <f>"British Columbia"</f>
        <v>British Columbia</v>
      </c>
      <c r="F267" s="1" t="str">
        <f>"Lochlan"</f>
        <v>Lochlan</v>
      </c>
      <c r="G267" s="1" t="str">
        <f>"Young"</f>
        <v>Young</v>
      </c>
      <c r="H267" s="1" t="str">
        <f>"0172163"</f>
        <v>0172163</v>
      </c>
      <c r="I267" s="1" t="str">
        <f t="shared" si="25"/>
        <v>M</v>
      </c>
      <c r="J267" s="2">
        <v>2002</v>
      </c>
      <c r="K267" s="1" t="str">
        <f>"1k"</f>
        <v>1k</v>
      </c>
      <c r="L267" s="1" t="s">
        <v>65</v>
      </c>
      <c r="M267" s="1" t="str">
        <f t="shared" si="26"/>
        <v>-73</v>
      </c>
      <c r="N267" s="1" t="str">
        <f>""</f>
        <v/>
      </c>
      <c r="O267" s="1">
        <v>2</v>
      </c>
      <c r="P267" s="1"/>
      <c r="Q267" t="s">
        <v>75</v>
      </c>
    </row>
    <row r="268" spans="1:17" x14ac:dyDescent="0.25">
      <c r="A268" t="str">
        <f>"2018-10-21 13:55:50"</f>
        <v>2018-10-21 13:55:50</v>
      </c>
      <c r="B268" s="1" t="str">
        <f>""</f>
        <v/>
      </c>
      <c r="C268" s="1" t="str">
        <f>"AJAX Budokan"</f>
        <v>AJAX Budokan</v>
      </c>
      <c r="D268" s="1" t="str">
        <f>"ON"</f>
        <v>ON</v>
      </c>
      <c r="E268" s="1" t="str">
        <f>"Ontario"</f>
        <v>Ontario</v>
      </c>
      <c r="F268" s="1" t="str">
        <f>"Allayah"</f>
        <v>Allayah</v>
      </c>
      <c r="G268" s="1" t="str">
        <f>"Copeland"</f>
        <v>Copeland</v>
      </c>
      <c r="H268" s="1" t="str">
        <f>"0170730"</f>
        <v>0170730</v>
      </c>
      <c r="I268" s="1" t="str">
        <f>"F"</f>
        <v>F</v>
      </c>
      <c r="J268" s="2">
        <v>1998</v>
      </c>
      <c r="K268" s="1" t="str">
        <f>"1k"</f>
        <v>1k</v>
      </c>
      <c r="L268" s="1" t="str">
        <f>"Senior"</f>
        <v>Senior</v>
      </c>
      <c r="M268" s="1" t="str">
        <f>"-78"</f>
        <v>-78</v>
      </c>
      <c r="N268" s="1" t="str">
        <f>""</f>
        <v/>
      </c>
      <c r="O268" s="1">
        <v>1</v>
      </c>
      <c r="P268" s="1"/>
      <c r="Q268" t="s">
        <v>245</v>
      </c>
    </row>
    <row r="269" spans="1:17" x14ac:dyDescent="0.25">
      <c r="A269" t="str">
        <f>"2018-10-21 13:55:50"</f>
        <v>2018-10-21 13:55:50</v>
      </c>
      <c r="B269" s="1" t="str">
        <f>""</f>
        <v/>
      </c>
      <c r="C269" s="1" t="str">
        <f>"Club de judo Baie-Comeau"</f>
        <v>Club de judo Baie-Comeau</v>
      </c>
      <c r="D269" s="1" t="str">
        <f>"QC"</f>
        <v>QC</v>
      </c>
      <c r="E269" s="1" t="str">
        <f>"Quebec"</f>
        <v>Quebec</v>
      </c>
      <c r="F269" s="1" t="str">
        <f>"Mina"</f>
        <v>Mina</v>
      </c>
      <c r="G269" s="1" t="str">
        <f>"Coulombe"</f>
        <v>Coulombe</v>
      </c>
      <c r="H269" s="1" t="str">
        <f>"0106150"</f>
        <v>0106150</v>
      </c>
      <c r="I269" s="1" t="str">
        <f>"F"</f>
        <v>F</v>
      </c>
      <c r="J269" s="2">
        <v>1996</v>
      </c>
      <c r="K269" s="1" t="str">
        <f>"2D"</f>
        <v>2D</v>
      </c>
      <c r="L269" s="1" t="str">
        <f>"Senior"</f>
        <v>Senior</v>
      </c>
      <c r="M269" s="1" t="str">
        <f>"-78"</f>
        <v>-78</v>
      </c>
      <c r="N269" s="1" t="str">
        <f>""</f>
        <v/>
      </c>
      <c r="O269" s="1">
        <v>1</v>
      </c>
      <c r="P269" s="1"/>
      <c r="Q269" t="s">
        <v>245</v>
      </c>
    </row>
    <row r="270" spans="1:17" x14ac:dyDescent="0.25">
      <c r="A270" t="str">
        <f>"2018-10-18 13:09:52"</f>
        <v>2018-10-18 13:09:52</v>
      </c>
      <c r="B270" s="1" t="str">
        <f>""</f>
        <v/>
      </c>
      <c r="C270" s="1" t="str">
        <f>"Bathurst Fudoshin Judo Club"</f>
        <v>Bathurst Fudoshin Judo Club</v>
      </c>
      <c r="D270" s="1" t="str">
        <f>"NB"</f>
        <v>NB</v>
      </c>
      <c r="E270" s="1" t="str">
        <f>"New Brunswick"</f>
        <v>New Brunswick</v>
      </c>
      <c r="F270" s="1" t="str">
        <f>"Alyssa"</f>
        <v>Alyssa</v>
      </c>
      <c r="G270" s="1" t="str">
        <f>"Levesque"</f>
        <v>Levesque</v>
      </c>
      <c r="H270" s="1" t="str">
        <f>"0410786"</f>
        <v>0410786</v>
      </c>
      <c r="I270" s="1" t="str">
        <f>"F"</f>
        <v>F</v>
      </c>
      <c r="J270" s="2">
        <v>1998</v>
      </c>
      <c r="K270" s="1" t="str">
        <f>"2k"</f>
        <v>2k</v>
      </c>
      <c r="L270" s="1" t="str">
        <f>"Senior"</f>
        <v>Senior</v>
      </c>
      <c r="M270" s="1" t="str">
        <f>"-78"</f>
        <v>-78</v>
      </c>
      <c r="N270" s="1" t="str">
        <f>""</f>
        <v/>
      </c>
      <c r="O270" s="1">
        <v>1</v>
      </c>
      <c r="P270" s="1"/>
      <c r="Q270" t="s">
        <v>245</v>
      </c>
    </row>
    <row r="271" spans="1:17" x14ac:dyDescent="0.25">
      <c r="A271" t="str">
        <f>"2018-10-21 13:55:50"</f>
        <v>2018-10-21 13:55:50</v>
      </c>
      <c r="B271" s="1" t="str">
        <f>""</f>
        <v/>
      </c>
      <c r="C271" s="1" t="str">
        <f>"Académie de Judo de Sept-Iles Inc."</f>
        <v>Académie de Judo de Sept-Iles Inc.</v>
      </c>
      <c r="D271" s="1" t="str">
        <f>"QC"</f>
        <v>QC</v>
      </c>
      <c r="E271" s="1" t="str">
        <f>"Quebec"</f>
        <v>Quebec</v>
      </c>
      <c r="F271" s="1" t="str">
        <f>"Josie-Anne"</f>
        <v>Josie-Anne</v>
      </c>
      <c r="G271" s="1" t="str">
        <f>"Synott"</f>
        <v>Synott</v>
      </c>
      <c r="H271" s="1" t="str">
        <f>"0212183"</f>
        <v>0212183</v>
      </c>
      <c r="I271" s="1" t="str">
        <f>"F"</f>
        <v>F</v>
      </c>
      <c r="J271" s="2">
        <v>2001</v>
      </c>
      <c r="K271" s="1" t="str">
        <f>"1D"</f>
        <v>1D</v>
      </c>
      <c r="L271" s="1" t="s">
        <v>65</v>
      </c>
      <c r="M271" s="1" t="str">
        <f>"-78"</f>
        <v>-78</v>
      </c>
      <c r="N271" s="1" t="str">
        <f>""</f>
        <v/>
      </c>
      <c r="O271" s="1">
        <v>2</v>
      </c>
      <c r="P271" s="1"/>
      <c r="Q271" t="s">
        <v>245</v>
      </c>
    </row>
    <row r="272" spans="1:17" x14ac:dyDescent="0.25">
      <c r="A272" t="str">
        <f>"2018-10-21 18:37:53"</f>
        <v>2018-10-21 18:37:53</v>
      </c>
      <c r="B272" s="1" t="str">
        <f>""</f>
        <v/>
      </c>
      <c r="C272" s="1" t="str">
        <f>"Jason Morris Judo Center"</f>
        <v>Jason Morris Judo Center</v>
      </c>
      <c r="D272" s="1" t="s">
        <v>106</v>
      </c>
      <c r="E272" s="1" t="str">
        <f>"New York"</f>
        <v>New York</v>
      </c>
      <c r="F272" s="1" t="str">
        <f>"Maxwell"</f>
        <v>Maxwell</v>
      </c>
      <c r="G272" s="1" t="str">
        <f>"Alaynick"</f>
        <v>Alaynick</v>
      </c>
      <c r="H272" s="1" t="str">
        <f>"AutreFederation"</f>
        <v>AutreFederation</v>
      </c>
      <c r="I272" s="1" t="str">
        <f t="shared" ref="I272:I332" si="28">"M"</f>
        <v>M</v>
      </c>
      <c r="J272" s="2">
        <v>2000</v>
      </c>
      <c r="K272" s="1" t="str">
        <f>"1D"</f>
        <v>1D</v>
      </c>
      <c r="L272" s="1" t="s">
        <v>65</v>
      </c>
      <c r="M272" s="1" t="str">
        <f t="shared" ref="M272:M277" si="29">"-81"</f>
        <v>-81</v>
      </c>
      <c r="N272" s="1" t="str">
        <f>""</f>
        <v/>
      </c>
      <c r="O272" s="1">
        <v>2</v>
      </c>
      <c r="P272" s="1"/>
      <c r="Q272" t="s">
        <v>92</v>
      </c>
    </row>
    <row r="273" spans="1:17" x14ac:dyDescent="0.25">
      <c r="A273" t="str">
        <f>"2018-10-01 18:29:12"</f>
        <v>2018-10-01 18:29:12</v>
      </c>
      <c r="B273" s="1" t="str">
        <f>""</f>
        <v/>
      </c>
      <c r="C273" s="1" t="str">
        <f>"Lethbridge Kyodokan Judo Club"</f>
        <v>Lethbridge Kyodokan Judo Club</v>
      </c>
      <c r="D273" s="1" t="str">
        <f>"AB"</f>
        <v>AB</v>
      </c>
      <c r="E273" s="1" t="str">
        <f>"Alberta"</f>
        <v>Alberta</v>
      </c>
      <c r="F273" s="1" t="str">
        <f>"Taylor"</f>
        <v>Taylor</v>
      </c>
      <c r="G273" s="1" t="str">
        <f>"Althouse"</f>
        <v>Althouse</v>
      </c>
      <c r="H273" s="1" t="str">
        <f>"0188736"</f>
        <v>0188736</v>
      </c>
      <c r="I273" s="1" t="str">
        <f t="shared" si="28"/>
        <v>M</v>
      </c>
      <c r="J273" s="2">
        <v>2002</v>
      </c>
      <c r="K273" s="1" t="str">
        <f>"1k"</f>
        <v>1k</v>
      </c>
      <c r="L273" s="1" t="s">
        <v>65</v>
      </c>
      <c r="M273" s="1" t="str">
        <f t="shared" si="29"/>
        <v>-81</v>
      </c>
      <c r="N273" s="1" t="str">
        <f>""</f>
        <v/>
      </c>
      <c r="O273" s="1">
        <v>2</v>
      </c>
      <c r="P273" s="1"/>
      <c r="Q273" t="s">
        <v>92</v>
      </c>
    </row>
    <row r="274" spans="1:17" x14ac:dyDescent="0.25">
      <c r="A274" t="str">
        <f>"2018-10-01 18:29:12"</f>
        <v>2018-10-01 18:29:12</v>
      </c>
      <c r="B274" s="1" t="str">
        <f>""</f>
        <v/>
      </c>
      <c r="C274" s="1" t="str">
        <f>"Club de judo Shidokan inc."</f>
        <v>Club de judo Shidokan inc.</v>
      </c>
      <c r="D274" s="1" t="str">
        <f>"QC"</f>
        <v>QC</v>
      </c>
      <c r="E274" s="1" t="str">
        <f>"Quebec"</f>
        <v>Quebec</v>
      </c>
      <c r="F274" s="1" t="str">
        <f>"Alexandre"</f>
        <v>Alexandre</v>
      </c>
      <c r="G274" s="1" t="str">
        <f>"Arencibia"</f>
        <v>Arencibia</v>
      </c>
      <c r="H274" s="1" t="str">
        <f>"0137705"</f>
        <v>0137705</v>
      </c>
      <c r="I274" s="1" t="str">
        <f t="shared" si="28"/>
        <v>M</v>
      </c>
      <c r="J274" s="2">
        <v>2001</v>
      </c>
      <c r="K274" s="1" t="str">
        <f>"2D"</f>
        <v>2D</v>
      </c>
      <c r="L274" s="1" t="s">
        <v>65</v>
      </c>
      <c r="M274" s="1" t="str">
        <f t="shared" si="29"/>
        <v>-81</v>
      </c>
      <c r="N274" s="1" t="str">
        <f>"-81"</f>
        <v>-81</v>
      </c>
      <c r="O274" s="1">
        <v>2</v>
      </c>
      <c r="P274" s="1"/>
      <c r="Q274" t="s">
        <v>92</v>
      </c>
    </row>
    <row r="275" spans="1:17" x14ac:dyDescent="0.25">
      <c r="B275" s="1" t="str">
        <f>""</f>
        <v/>
      </c>
      <c r="C275" s="1" t="str">
        <f>"Club de judo Métropolitain inc."</f>
        <v>Club de judo Métropolitain inc.</v>
      </c>
      <c r="D275" s="1" t="str">
        <f>"QC"</f>
        <v>QC</v>
      </c>
      <c r="E275" s="1" t="str">
        <f>"Quebec"</f>
        <v>Quebec</v>
      </c>
      <c r="F275" s="1" t="s">
        <v>246</v>
      </c>
      <c r="G275" s="1" t="str">
        <f>"Bejhaj"</f>
        <v>Bejhaj</v>
      </c>
      <c r="H275" s="1">
        <v>221734</v>
      </c>
      <c r="I275" s="1" t="str">
        <f t="shared" si="28"/>
        <v>M</v>
      </c>
      <c r="J275" s="1">
        <v>1995</v>
      </c>
      <c r="K275" s="1" t="s">
        <v>21</v>
      </c>
      <c r="L275" s="1" t="str">
        <f>"Senior"</f>
        <v>Senior</v>
      </c>
      <c r="M275" s="1" t="str">
        <f t="shared" si="29"/>
        <v>-81</v>
      </c>
      <c r="N275" s="1" t="str">
        <f>""</f>
        <v/>
      </c>
      <c r="O275" s="1"/>
      <c r="P275" s="1"/>
      <c r="Q275" t="s">
        <v>92</v>
      </c>
    </row>
    <row r="276" spans="1:17" x14ac:dyDescent="0.25">
      <c r="A276" t="str">
        <f>"2018-10-20 17:32:25"</f>
        <v>2018-10-20 17:32:25</v>
      </c>
      <c r="B276" s="1" t="str">
        <f>""</f>
        <v/>
      </c>
      <c r="C276" s="1" t="str">
        <f>"Jason Morris Judo Center"</f>
        <v>Jason Morris Judo Center</v>
      </c>
      <c r="D276" s="1" t="s">
        <v>106</v>
      </c>
      <c r="E276" s="1" t="str">
        <f>"New York"</f>
        <v>New York</v>
      </c>
      <c r="F276" s="1" t="str">
        <f>"Kell"</f>
        <v>Kell</v>
      </c>
      <c r="G276" s="1" t="str">
        <f>"Berliner"</f>
        <v>Berliner</v>
      </c>
      <c r="H276" s="1" t="str">
        <f>"AutreFederation"</f>
        <v>AutreFederation</v>
      </c>
      <c r="I276" s="1" t="str">
        <f t="shared" si="28"/>
        <v>M</v>
      </c>
      <c r="J276" s="2">
        <v>1994</v>
      </c>
      <c r="K276" s="1" t="str">
        <f>"2D"</f>
        <v>2D</v>
      </c>
      <c r="L276" s="1" t="s">
        <v>65</v>
      </c>
      <c r="M276" s="1" t="str">
        <f t="shared" si="29"/>
        <v>-81</v>
      </c>
      <c r="N276" s="1" t="str">
        <f>"81kg"</f>
        <v>81kg</v>
      </c>
      <c r="O276" s="1">
        <v>2</v>
      </c>
      <c r="P276" s="1"/>
      <c r="Q276" t="s">
        <v>92</v>
      </c>
    </row>
    <row r="277" spans="1:17" x14ac:dyDescent="0.25">
      <c r="A277" t="str">
        <f>"2018-10-18 10:00:39"</f>
        <v>2018-10-18 10:00:39</v>
      </c>
      <c r="B277" s="1" t="str">
        <f>""</f>
        <v/>
      </c>
      <c r="C277" s="1" t="str">
        <f>"hollywood judo dojo"</f>
        <v>hollywood judo dojo</v>
      </c>
      <c r="D277" s="1" t="s">
        <v>106</v>
      </c>
      <c r="E277" s="1" t="str">
        <f>"USA"</f>
        <v>USA</v>
      </c>
      <c r="F277" s="1" t="str">
        <f>"Charles"</f>
        <v>Charles</v>
      </c>
      <c r="G277" s="1" t="str">
        <f>"Carpenter"</f>
        <v>Carpenter</v>
      </c>
      <c r="H277" s="1" t="str">
        <f>"AutreFederation"</f>
        <v>AutreFederation</v>
      </c>
      <c r="I277" s="1" t="str">
        <f t="shared" si="28"/>
        <v>M</v>
      </c>
      <c r="J277" s="2">
        <v>1988</v>
      </c>
      <c r="K277" s="1" t="str">
        <f>"1D"</f>
        <v>1D</v>
      </c>
      <c r="L277" s="1" t="str">
        <f>"Senior"</f>
        <v>Senior</v>
      </c>
      <c r="M277" s="1" t="str">
        <f t="shared" si="29"/>
        <v>-81</v>
      </c>
      <c r="N277" s="1" t="str">
        <f>""</f>
        <v/>
      </c>
      <c r="O277" s="1">
        <v>1</v>
      </c>
      <c r="P277" s="1"/>
      <c r="Q277" t="s">
        <v>92</v>
      </c>
    </row>
    <row r="278" spans="1:17" x14ac:dyDescent="0.25">
      <c r="A278" t="str">
        <f>"2018-09-29 15:04:29"</f>
        <v>2018-09-29 15:04:29</v>
      </c>
      <c r="B278" s="1" t="str">
        <f>""</f>
        <v/>
      </c>
      <c r="C278" s="1" t="str">
        <f>"The Art Of Balance Dojo"</f>
        <v>The Art Of Balance Dojo</v>
      </c>
      <c r="D278" s="1" t="str">
        <f>"ON"</f>
        <v>ON</v>
      </c>
      <c r="E278" s="1" t="str">
        <f>"Ontario"</f>
        <v>Ontario</v>
      </c>
      <c r="F278" s="1" t="str">
        <f>"Solomon"</f>
        <v>Solomon</v>
      </c>
      <c r="G278" s="1" t="str">
        <f>"Choran"</f>
        <v>Choran</v>
      </c>
      <c r="H278" s="1" t="str">
        <f>"0187149"</f>
        <v>0187149</v>
      </c>
      <c r="I278" s="1" t="str">
        <f t="shared" si="28"/>
        <v>M</v>
      </c>
      <c r="J278" s="2">
        <v>1999</v>
      </c>
      <c r="K278" s="1" t="str">
        <f>"1k"</f>
        <v>1k</v>
      </c>
      <c r="L278" s="1" t="s">
        <v>65</v>
      </c>
      <c r="M278" s="8">
        <v>-81</v>
      </c>
      <c r="N278" s="1" t="str">
        <f>""</f>
        <v/>
      </c>
      <c r="O278" s="1">
        <v>2</v>
      </c>
      <c r="P278" s="1"/>
      <c r="Q278" t="s">
        <v>92</v>
      </c>
    </row>
    <row r="279" spans="1:17" x14ac:dyDescent="0.25">
      <c r="A279" t="str">
        <f>"2018-10-17 22:55:51"</f>
        <v>2018-10-17 22:55:51</v>
      </c>
      <c r="B279" s="1" t="str">
        <f>""</f>
        <v/>
      </c>
      <c r="C279" s="1" t="str">
        <f>"Club de Judo Haut-Richelieu"</f>
        <v>Club de Judo Haut-Richelieu</v>
      </c>
      <c r="D279" s="1" t="str">
        <f>"QC"</f>
        <v>QC</v>
      </c>
      <c r="E279" s="1" t="str">
        <f>"Quebec"</f>
        <v>Quebec</v>
      </c>
      <c r="F279" s="1" t="str">
        <f>"Gabriel"</f>
        <v>Gabriel</v>
      </c>
      <c r="G279" s="1" t="str">
        <f>"Dasilva"</f>
        <v>Dasilva</v>
      </c>
      <c r="H279" s="1" t="str">
        <f>"0081223"</f>
        <v>0081223</v>
      </c>
      <c r="I279" s="1" t="str">
        <f t="shared" si="28"/>
        <v>M</v>
      </c>
      <c r="J279" s="2">
        <v>1991</v>
      </c>
      <c r="K279" s="1" t="str">
        <f>"1D"</f>
        <v>1D</v>
      </c>
      <c r="L279" s="1" t="str">
        <f>"Senior"</f>
        <v>Senior</v>
      </c>
      <c r="M279" s="1" t="str">
        <f t="shared" ref="M279:M301" si="30">"-81"</f>
        <v>-81</v>
      </c>
      <c r="N279" s="1" t="str">
        <f>""</f>
        <v/>
      </c>
      <c r="O279" s="1">
        <v>1</v>
      </c>
      <c r="P279" s="1"/>
      <c r="Q279" t="s">
        <v>92</v>
      </c>
    </row>
    <row r="280" spans="1:17" x14ac:dyDescent="0.25">
      <c r="B280" s="1" t="str">
        <f>""</f>
        <v/>
      </c>
      <c r="C280" s="1" t="str">
        <f>"Club de judo Seiko"</f>
        <v>Club de judo Seiko</v>
      </c>
      <c r="D280" s="1" t="str">
        <f>"QC"</f>
        <v>QC</v>
      </c>
      <c r="E280" s="1" t="str">
        <f>"Quebec"</f>
        <v>Quebec</v>
      </c>
      <c r="F280" s="1" t="str">
        <f>"François"</f>
        <v>François</v>
      </c>
      <c r="G280" s="1" t="str">
        <f>"Gauthier-Drapeau"</f>
        <v>Gauthier-Drapeau</v>
      </c>
      <c r="H280" s="1" t="str">
        <f>"0099397"</f>
        <v>0099397</v>
      </c>
      <c r="I280" s="1" t="str">
        <f t="shared" si="28"/>
        <v>M</v>
      </c>
      <c r="J280" s="1">
        <v>1998</v>
      </c>
      <c r="K280" s="1" t="s">
        <v>110</v>
      </c>
      <c r="L280" s="1" t="str">
        <f>"Senior"</f>
        <v>Senior</v>
      </c>
      <c r="M280" s="1" t="str">
        <f t="shared" si="30"/>
        <v>-81</v>
      </c>
      <c r="N280" s="1" t="str">
        <f>""</f>
        <v/>
      </c>
      <c r="O280" s="1"/>
      <c r="P280" s="1"/>
      <c r="Q280" t="s">
        <v>92</v>
      </c>
    </row>
    <row r="281" spans="1:17" x14ac:dyDescent="0.25">
      <c r="A281" t="str">
        <f>"2018-10-01 18:29:12"</f>
        <v>2018-10-01 18:29:12</v>
      </c>
      <c r="B281" s="1" t="str">
        <f>""</f>
        <v/>
      </c>
      <c r="C281" s="1" t="str">
        <f>"S.C.Corinthians"</f>
        <v>S.C.Corinthians</v>
      </c>
      <c r="D281" s="1" t="s">
        <v>164</v>
      </c>
      <c r="E281" s="1" t="str">
        <f>"Brazil"</f>
        <v>Brazil</v>
      </c>
      <c r="F281" s="1" t="str">
        <f>"Rafael"</f>
        <v>Rafael</v>
      </c>
      <c r="G281" s="1" t="str">
        <f>"Goes"</f>
        <v>Goes</v>
      </c>
      <c r="H281" s="1" t="str">
        <f>"AutreFederation"</f>
        <v>AutreFederation</v>
      </c>
      <c r="I281" s="1" t="str">
        <f t="shared" si="28"/>
        <v>M</v>
      </c>
      <c r="J281" s="2">
        <v>1989</v>
      </c>
      <c r="K281" s="1" t="str">
        <f>"1D"</f>
        <v>1D</v>
      </c>
      <c r="L281" s="1" t="str">
        <f>"Senior"</f>
        <v>Senior</v>
      </c>
      <c r="M281" s="1" t="str">
        <f t="shared" si="30"/>
        <v>-81</v>
      </c>
      <c r="N281" s="1" t="str">
        <f>""</f>
        <v/>
      </c>
      <c r="O281" s="1">
        <v>1</v>
      </c>
      <c r="P281" s="1"/>
      <c r="Q281" t="s">
        <v>92</v>
      </c>
    </row>
    <row r="282" spans="1:17" x14ac:dyDescent="0.25">
      <c r="A282" t="str">
        <f>"2018-10-21 21:24:39"</f>
        <v>2018-10-21 21:24:39</v>
      </c>
      <c r="B282" s="1" t="str">
        <f>""</f>
        <v/>
      </c>
      <c r="C282" s="1" t="str">
        <f>"The Art Of Balance Dojo"</f>
        <v>The Art Of Balance Dojo</v>
      </c>
      <c r="D282" s="1" t="str">
        <f>"ON"</f>
        <v>ON</v>
      </c>
      <c r="E282" s="1" t="str">
        <f>"Canada"</f>
        <v>Canada</v>
      </c>
      <c r="F282" s="1" t="str">
        <f>"Ron"</f>
        <v>Ron</v>
      </c>
      <c r="G282" s="1" t="str">
        <f>"Hanji"</f>
        <v>Hanji</v>
      </c>
      <c r="H282" s="1" t="str">
        <f>"0197055"</f>
        <v>0197055</v>
      </c>
      <c r="I282" s="1" t="str">
        <f t="shared" si="28"/>
        <v>M</v>
      </c>
      <c r="J282" s="2">
        <v>2001</v>
      </c>
      <c r="K282" s="1" t="str">
        <f>"1D"</f>
        <v>1D</v>
      </c>
      <c r="L282" s="1" t="s">
        <v>65</v>
      </c>
      <c r="M282" s="1" t="str">
        <f t="shared" si="30"/>
        <v>-81</v>
      </c>
      <c r="N282" s="1" t="str">
        <f>""</f>
        <v/>
      </c>
      <c r="O282" s="1">
        <v>2</v>
      </c>
      <c r="P282" s="1"/>
      <c r="Q282" t="s">
        <v>92</v>
      </c>
    </row>
    <row r="283" spans="1:17" x14ac:dyDescent="0.25">
      <c r="A283" t="str">
        <f>"2018-10-21 18:37:53"</f>
        <v>2018-10-21 18:37:53</v>
      </c>
      <c r="B283" s="1" t="str">
        <f>""</f>
        <v/>
      </c>
      <c r="C283" s="1" t="str">
        <f>"Kiyokan judo club"</f>
        <v>Kiyokan judo club</v>
      </c>
      <c r="D283" s="1" t="str">
        <f>"NB"</f>
        <v>NB</v>
      </c>
      <c r="E283" s="1" t="str">
        <f>"New Brunswick"</f>
        <v>New Brunswick</v>
      </c>
      <c r="F283" s="1" t="str">
        <f>"Tom"</f>
        <v>Tom</v>
      </c>
      <c r="G283" s="1" t="str">
        <f>"Hanlon"</f>
        <v>Hanlon</v>
      </c>
      <c r="H283" s="1" t="str">
        <f>"0158551"</f>
        <v>0158551</v>
      </c>
      <c r="I283" s="1" t="str">
        <f t="shared" si="28"/>
        <v>M</v>
      </c>
      <c r="J283" s="2">
        <v>1996</v>
      </c>
      <c r="K283" s="1" t="str">
        <f>"2D"</f>
        <v>2D</v>
      </c>
      <c r="L283" s="1" t="str">
        <f>"Senior"</f>
        <v>Senior</v>
      </c>
      <c r="M283" s="1" t="str">
        <f t="shared" si="30"/>
        <v>-81</v>
      </c>
      <c r="N283" s="1" t="str">
        <f>""</f>
        <v/>
      </c>
      <c r="O283" s="1">
        <v>1</v>
      </c>
      <c r="P283" s="1"/>
      <c r="Q283" t="s">
        <v>92</v>
      </c>
    </row>
    <row r="284" spans="1:17" x14ac:dyDescent="0.25">
      <c r="A284" t="str">
        <f>"2018-10-08 10:34:40"</f>
        <v>2018-10-08 10:34:40</v>
      </c>
      <c r="B284" s="1" t="str">
        <f>""</f>
        <v/>
      </c>
      <c r="C284" s="1" t="str">
        <f>"Abbotsford Judo Club"</f>
        <v>Abbotsford Judo Club</v>
      </c>
      <c r="D284" s="1" t="str">
        <f>"BC"</f>
        <v>BC</v>
      </c>
      <c r="E284" s="1" t="str">
        <f>"British Columbia"</f>
        <v>British Columbia</v>
      </c>
      <c r="F284" s="1" t="str">
        <f>"Payton"</f>
        <v>Payton</v>
      </c>
      <c r="G284" s="1" t="str">
        <f>"Harris"</f>
        <v>Harris</v>
      </c>
      <c r="H284" s="1" t="str">
        <f>"0173210"</f>
        <v>0173210</v>
      </c>
      <c r="I284" s="1" t="str">
        <f t="shared" si="28"/>
        <v>M</v>
      </c>
      <c r="J284" s="2">
        <v>2002</v>
      </c>
      <c r="K284" s="1" t="str">
        <f>"1D"</f>
        <v>1D</v>
      </c>
      <c r="L284" s="1" t="s">
        <v>65</v>
      </c>
      <c r="M284" s="1" t="str">
        <f t="shared" si="30"/>
        <v>-81</v>
      </c>
      <c r="N284" s="1" t="str">
        <f>""</f>
        <v/>
      </c>
      <c r="O284" s="1">
        <v>2</v>
      </c>
      <c r="P284" s="1"/>
      <c r="Q284" t="s">
        <v>92</v>
      </c>
    </row>
    <row r="285" spans="1:17" x14ac:dyDescent="0.25">
      <c r="A285" t="str">
        <f>"2018-10-18 10:00:39"</f>
        <v>2018-10-18 10:00:39</v>
      </c>
      <c r="B285" s="1" t="str">
        <f>""</f>
        <v/>
      </c>
      <c r="C285" s="1" t="str">
        <f>"Judo Univestri/donini"</f>
        <v>Judo Univestri/donini</v>
      </c>
      <c r="D285" s="1" t="str">
        <f>"QC"</f>
        <v>QC</v>
      </c>
      <c r="E285" s="1" t="str">
        <f>"Quebec"</f>
        <v>Quebec</v>
      </c>
      <c r="F285" s="1" t="str">
        <f>"Samuel"</f>
        <v>Samuel</v>
      </c>
      <c r="G285" s="1" t="str">
        <f>"Hétu"</f>
        <v>Hétu</v>
      </c>
      <c r="H285" s="1" t="str">
        <f>"0104749"</f>
        <v>0104749</v>
      </c>
      <c r="I285" s="1" t="str">
        <f t="shared" si="28"/>
        <v>M</v>
      </c>
      <c r="J285" s="2">
        <v>1998</v>
      </c>
      <c r="K285" s="1" t="str">
        <f>"1k"</f>
        <v>1k</v>
      </c>
      <c r="L285" s="1" t="str">
        <f>"Senior"</f>
        <v>Senior</v>
      </c>
      <c r="M285" s="1" t="str">
        <f t="shared" si="30"/>
        <v>-81</v>
      </c>
      <c r="N285" s="1" t="str">
        <f>""</f>
        <v/>
      </c>
      <c r="O285" s="1">
        <v>1</v>
      </c>
      <c r="P285" s="1"/>
      <c r="Q285" t="s">
        <v>92</v>
      </c>
    </row>
    <row r="286" spans="1:17" x14ac:dyDescent="0.25">
      <c r="A286" t="str">
        <f>"2018-10-19 03:45:13"</f>
        <v>2018-10-19 03:45:13</v>
      </c>
      <c r="B286" s="1" t="str">
        <f>"2018-10-22 10:19:11"</f>
        <v>2018-10-22 10:19:11</v>
      </c>
      <c r="C286" s="1" t="str">
        <f>"Cloverdale Judo Club"</f>
        <v>Cloverdale Judo Club</v>
      </c>
      <c r="D286" s="1" t="str">
        <f>"ON"</f>
        <v>ON</v>
      </c>
      <c r="E286" s="1" t="str">
        <f>"Ontario"</f>
        <v>Ontario</v>
      </c>
      <c r="F286" s="1" t="str">
        <f>"Chul Woong"</f>
        <v>Chul Woong</v>
      </c>
      <c r="G286" s="1" t="str">
        <f>"Hyun"</f>
        <v>Hyun</v>
      </c>
      <c r="H286" s="7" t="str">
        <f>"AutreFederation"</f>
        <v>AutreFederation</v>
      </c>
      <c r="I286" s="1" t="str">
        <f t="shared" si="28"/>
        <v>M</v>
      </c>
      <c r="J286" s="2">
        <v>1997</v>
      </c>
      <c r="K286" s="4" t="str">
        <f>"2k"</f>
        <v>2k</v>
      </c>
      <c r="L286" s="4" t="str">
        <f>"Senior"</f>
        <v>Senior</v>
      </c>
      <c r="M286" s="1" t="str">
        <f t="shared" si="30"/>
        <v>-81</v>
      </c>
      <c r="N286" s="1" t="str">
        <f>""</f>
        <v/>
      </c>
      <c r="O286" s="1">
        <v>1</v>
      </c>
      <c r="P286" s="1" t="s">
        <v>74</v>
      </c>
      <c r="Q286" t="s">
        <v>92</v>
      </c>
    </row>
    <row r="287" spans="1:17" x14ac:dyDescent="0.25">
      <c r="A287" t="str">
        <f>"2018-10-10 16:28:54"</f>
        <v>2018-10-10 16:28:54</v>
      </c>
      <c r="B287" s="1" t="str">
        <f>""</f>
        <v/>
      </c>
      <c r="C287" s="1" t="str">
        <f>"Club de judo Shidokan inc."</f>
        <v>Club de judo Shidokan inc.</v>
      </c>
      <c r="D287" s="1" t="str">
        <f>"QC"</f>
        <v>QC</v>
      </c>
      <c r="E287" s="1" t="str">
        <f>"Quebec"</f>
        <v>Quebec</v>
      </c>
      <c r="F287" s="1" t="str">
        <f>"Roman"</f>
        <v>Roman</v>
      </c>
      <c r="G287" s="1" t="str">
        <f>"Kouperchand"</f>
        <v>Kouperchand</v>
      </c>
      <c r="H287" s="1" t="str">
        <f>"0234601"</f>
        <v>0234601</v>
      </c>
      <c r="I287" s="1" t="str">
        <f t="shared" si="28"/>
        <v>M</v>
      </c>
      <c r="J287" s="2">
        <v>1996</v>
      </c>
      <c r="K287" s="4" t="str">
        <f>"2k"</f>
        <v>2k</v>
      </c>
      <c r="L287" s="4" t="str">
        <f>"Senior"</f>
        <v>Senior</v>
      </c>
      <c r="M287" s="1" t="str">
        <f t="shared" si="30"/>
        <v>-81</v>
      </c>
      <c r="N287" s="1" t="str">
        <f>""</f>
        <v/>
      </c>
      <c r="O287" s="1">
        <v>1</v>
      </c>
      <c r="P287" s="1" t="s">
        <v>74</v>
      </c>
      <c r="Q287" t="s">
        <v>92</v>
      </c>
    </row>
    <row r="288" spans="1:17" x14ac:dyDescent="0.25">
      <c r="A288" t="str">
        <f>"2018-10-21 20:44:36"</f>
        <v>2018-10-21 20:44:36</v>
      </c>
      <c r="B288" s="1" t="str">
        <f>""</f>
        <v/>
      </c>
      <c r="C288" s="1" t="str">
        <f>"AJAX Budokan"</f>
        <v>AJAX Budokan</v>
      </c>
      <c r="D288" s="1" t="str">
        <f>"ON"</f>
        <v>ON</v>
      </c>
      <c r="E288" s="1" t="str">
        <f>"Ontario"</f>
        <v>Ontario</v>
      </c>
      <c r="F288" s="1" t="str">
        <f>"Bradley"</f>
        <v>Bradley</v>
      </c>
      <c r="G288" s="1" t="str">
        <f>"Langlois"</f>
        <v>Langlois</v>
      </c>
      <c r="H288" s="1" t="str">
        <f>"0125013"</f>
        <v>0125013</v>
      </c>
      <c r="I288" s="1" t="str">
        <f t="shared" si="28"/>
        <v>M</v>
      </c>
      <c r="J288" s="2">
        <v>1996</v>
      </c>
      <c r="K288" s="1" t="str">
        <f>"2D"</f>
        <v>2D</v>
      </c>
      <c r="L288" s="1" t="str">
        <f>"Senior"</f>
        <v>Senior</v>
      </c>
      <c r="M288" s="1" t="str">
        <f t="shared" si="30"/>
        <v>-81</v>
      </c>
      <c r="N288" s="1" t="str">
        <f>""</f>
        <v/>
      </c>
      <c r="O288" s="1">
        <v>1</v>
      </c>
      <c r="P288" s="1"/>
      <c r="Q288" t="s">
        <v>92</v>
      </c>
    </row>
    <row r="289" spans="1:17" x14ac:dyDescent="0.25">
      <c r="A289" t="str">
        <f>"2018-10-01 18:29:12"</f>
        <v>2018-10-01 18:29:12</v>
      </c>
      <c r="B289" s="1" t="str">
        <f>""</f>
        <v/>
      </c>
      <c r="C289" s="1" t="str">
        <f>"Club Judokan Port Cartier"</f>
        <v>Club Judokan Port Cartier</v>
      </c>
      <c r="D289" s="1" t="str">
        <f>"QC"</f>
        <v>QC</v>
      </c>
      <c r="E289" s="1" t="str">
        <f>"Quebec"</f>
        <v>Quebec</v>
      </c>
      <c r="F289" s="1" t="str">
        <f>"Jérémie"</f>
        <v>Jérémie</v>
      </c>
      <c r="G289" s="1" t="str">
        <f>"Lapointe"</f>
        <v>Lapointe</v>
      </c>
      <c r="H289" s="1" t="str">
        <f>"0162678"</f>
        <v>0162678</v>
      </c>
      <c r="I289" s="1" t="str">
        <f t="shared" si="28"/>
        <v>M</v>
      </c>
      <c r="J289" s="2">
        <v>2001</v>
      </c>
      <c r="K289" s="1" t="str">
        <f>"1D"</f>
        <v>1D</v>
      </c>
      <c r="L289" s="1" t="s">
        <v>65</v>
      </c>
      <c r="M289" s="1" t="str">
        <f t="shared" si="30"/>
        <v>-81</v>
      </c>
      <c r="N289" s="1" t="str">
        <f>"-81"</f>
        <v>-81</v>
      </c>
      <c r="O289" s="1">
        <v>2</v>
      </c>
      <c r="P289" s="1"/>
      <c r="Q289" t="s">
        <v>92</v>
      </c>
    </row>
    <row r="290" spans="1:17" x14ac:dyDescent="0.25">
      <c r="A290" t="str">
        <f>"2018-10-23 23:24:22"</f>
        <v>2018-10-23 23:24:22</v>
      </c>
      <c r="B290" s="1" t="str">
        <f>""</f>
        <v/>
      </c>
      <c r="C290" s="1" t="str">
        <f>"Cloverdale Judo Club"</f>
        <v>Cloverdale Judo Club</v>
      </c>
      <c r="D290" s="1" t="str">
        <f>"ON"</f>
        <v>ON</v>
      </c>
      <c r="E290" s="1" t="str">
        <f>"Ontario"</f>
        <v>Ontario</v>
      </c>
      <c r="F290" s="1" t="str">
        <f>"Cédric"</f>
        <v>Cédric</v>
      </c>
      <c r="G290" s="1" t="str">
        <f>"Levesque"</f>
        <v>Levesque</v>
      </c>
      <c r="H290" s="7" t="str">
        <f>"AutreFederation"</f>
        <v>AutreFederation</v>
      </c>
      <c r="I290" s="1" t="str">
        <f t="shared" si="28"/>
        <v>M</v>
      </c>
      <c r="J290" s="2">
        <v>1996</v>
      </c>
      <c r="K290" s="1" t="str">
        <f>"1k"</f>
        <v>1k</v>
      </c>
      <c r="L290" s="1" t="str">
        <f>"Senior"</f>
        <v>Senior</v>
      </c>
      <c r="M290" s="1" t="str">
        <f t="shared" si="30"/>
        <v>-81</v>
      </c>
      <c r="N290" s="1" t="str">
        <f>""</f>
        <v/>
      </c>
      <c r="O290" s="1">
        <v>1</v>
      </c>
      <c r="P290" s="1"/>
      <c r="Q290" t="s">
        <v>92</v>
      </c>
    </row>
    <row r="291" spans="1:17" x14ac:dyDescent="0.25">
      <c r="A291" t="str">
        <f>"2018-10-15 09:25:56"</f>
        <v>2018-10-15 09:25:56</v>
      </c>
      <c r="B291" s="1" t="str">
        <f>""</f>
        <v/>
      </c>
      <c r="C291" s="1" t="str">
        <f>"Burnaby Judo Club"</f>
        <v>Burnaby Judo Club</v>
      </c>
      <c r="D291" s="1" t="str">
        <f>"BC"</f>
        <v>BC</v>
      </c>
      <c r="E291" s="1" t="str">
        <f>"British Columbia"</f>
        <v>British Columbia</v>
      </c>
      <c r="F291" s="1" t="str">
        <f>"Tim"</f>
        <v>Tim</v>
      </c>
      <c r="G291" s="1" t="str">
        <f>"Lyon"</f>
        <v>Lyon</v>
      </c>
      <c r="H291" s="1" t="str">
        <f>"0206917"</f>
        <v>0206917</v>
      </c>
      <c r="I291" s="1" t="str">
        <f t="shared" si="28"/>
        <v>M</v>
      </c>
      <c r="J291" s="2">
        <v>1993</v>
      </c>
      <c r="K291" s="1" t="str">
        <f>"1D"</f>
        <v>1D</v>
      </c>
      <c r="L291" s="1" t="s">
        <v>65</v>
      </c>
      <c r="M291" s="1" t="str">
        <f t="shared" si="30"/>
        <v>-81</v>
      </c>
      <c r="N291" s="1" t="str">
        <f>""</f>
        <v/>
      </c>
      <c r="O291" s="1">
        <v>2</v>
      </c>
      <c r="P291" s="1"/>
      <c r="Q291" t="s">
        <v>92</v>
      </c>
    </row>
    <row r="292" spans="1:17" x14ac:dyDescent="0.25">
      <c r="A292" t="str">
        <f>"2018-10-08 22:11:24"</f>
        <v>2018-10-08 22:11:24</v>
      </c>
      <c r="B292" s="1" t="str">
        <f>""</f>
        <v/>
      </c>
      <c r="C292" s="1" t="str">
        <f>"Dojo Perrot Shima"</f>
        <v>Dojo Perrot Shima</v>
      </c>
      <c r="D292" s="1" t="str">
        <f>"QC"</f>
        <v>QC</v>
      </c>
      <c r="E292" s="1" t="str">
        <f>"Quebec"</f>
        <v>Quebec</v>
      </c>
      <c r="F292" s="1" t="str">
        <f>"Alex"</f>
        <v>Alex</v>
      </c>
      <c r="G292" s="1" t="str">
        <f>"Marineau"</f>
        <v>Marineau</v>
      </c>
      <c r="H292" s="1" t="str">
        <f>"0101351"</f>
        <v>0101351</v>
      </c>
      <c r="I292" s="1" t="str">
        <f t="shared" si="28"/>
        <v>M</v>
      </c>
      <c r="J292" s="2">
        <v>1997</v>
      </c>
      <c r="K292" s="1" t="str">
        <f>"2D"</f>
        <v>2D</v>
      </c>
      <c r="L292" s="1" t="str">
        <f>"Senior"</f>
        <v>Senior</v>
      </c>
      <c r="M292" s="1" t="str">
        <f t="shared" si="30"/>
        <v>-81</v>
      </c>
      <c r="N292" s="1" t="str">
        <f>""</f>
        <v/>
      </c>
      <c r="O292" s="1">
        <v>1</v>
      </c>
      <c r="P292" s="1"/>
      <c r="Q292" t="s">
        <v>92</v>
      </c>
    </row>
    <row r="293" spans="1:17" x14ac:dyDescent="0.25">
      <c r="A293" t="str">
        <f>"2018-10-01 18:29:12"</f>
        <v>2018-10-01 18:29:12</v>
      </c>
      <c r="B293" s="1" t="str">
        <f>""</f>
        <v/>
      </c>
      <c r="C293" s="1" t="str">
        <f>"Hayabusakan"</f>
        <v>Hayabusakan</v>
      </c>
      <c r="D293" s="1" t="str">
        <f>"ON"</f>
        <v>ON</v>
      </c>
      <c r="E293" s="1" t="str">
        <f>"Ontario"</f>
        <v>Ontario</v>
      </c>
      <c r="F293" s="1" t="str">
        <f>"Daniel"</f>
        <v>Daniel</v>
      </c>
      <c r="G293" s="1" t="str">
        <f>"Marjerrison"</f>
        <v>Marjerrison</v>
      </c>
      <c r="H293" s="1" t="str">
        <f>"0180173"</f>
        <v>0180173</v>
      </c>
      <c r="I293" s="1" t="str">
        <f t="shared" si="28"/>
        <v>M</v>
      </c>
      <c r="J293" s="2">
        <v>1997</v>
      </c>
      <c r="K293" s="1" t="str">
        <f>"1D"</f>
        <v>1D</v>
      </c>
      <c r="L293" s="1" t="str">
        <f>"Senior"</f>
        <v>Senior</v>
      </c>
      <c r="M293" s="1" t="str">
        <f t="shared" si="30"/>
        <v>-81</v>
      </c>
      <c r="N293" s="1" t="str">
        <f>""</f>
        <v/>
      </c>
      <c r="O293" s="1">
        <v>1</v>
      </c>
      <c r="P293" s="1"/>
      <c r="Q293" t="s">
        <v>92</v>
      </c>
    </row>
    <row r="294" spans="1:17" x14ac:dyDescent="0.25">
      <c r="A294" t="str">
        <f>"2018-10-15 09:25:56"</f>
        <v>2018-10-15 09:25:56</v>
      </c>
      <c r="B294" s="1" t="str">
        <f>""</f>
        <v/>
      </c>
      <c r="C294" s="1" t="str">
        <f>"Judo Alberta"</f>
        <v>Judo Alberta</v>
      </c>
      <c r="D294" s="1" t="str">
        <f>"AB"</f>
        <v>AB</v>
      </c>
      <c r="E294" s="1" t="str">
        <f>"Alberta"</f>
        <v>Alberta</v>
      </c>
      <c r="F294" s="1" t="str">
        <f>"Mckenzie"</f>
        <v>Mckenzie</v>
      </c>
      <c r="G294" s="1" t="str">
        <f>"Morgan"</f>
        <v>Morgan</v>
      </c>
      <c r="H294" s="1" t="str">
        <f>"0162808"</f>
        <v>0162808</v>
      </c>
      <c r="I294" s="1" t="str">
        <f t="shared" si="28"/>
        <v>M</v>
      </c>
      <c r="J294" s="2">
        <v>1999</v>
      </c>
      <c r="K294" s="1" t="str">
        <f>"1D"</f>
        <v>1D</v>
      </c>
      <c r="L294" s="1" t="s">
        <v>65</v>
      </c>
      <c r="M294" s="1" t="str">
        <f t="shared" si="30"/>
        <v>-81</v>
      </c>
      <c r="N294" s="1" t="str">
        <f>"-81kg"</f>
        <v>-81kg</v>
      </c>
      <c r="O294" s="1">
        <v>2</v>
      </c>
      <c r="P294" s="1"/>
      <c r="Q294" t="s">
        <v>92</v>
      </c>
    </row>
    <row r="295" spans="1:17" x14ac:dyDescent="0.25">
      <c r="A295" t="str">
        <f>"2018-10-18 10:00:39"</f>
        <v>2018-10-18 10:00:39</v>
      </c>
      <c r="B295" s="1" t="str">
        <f>""</f>
        <v/>
      </c>
      <c r="C295" s="1" t="str">
        <f>"Club de judo Olympique"</f>
        <v>Club de judo Olympique</v>
      </c>
      <c r="D295" s="1" t="str">
        <f>"QC"</f>
        <v>QC</v>
      </c>
      <c r="E295" s="1" t="str">
        <f>"Quebec"</f>
        <v>Quebec</v>
      </c>
      <c r="F295" s="1" t="str">
        <f>"Amine"</f>
        <v>Amine</v>
      </c>
      <c r="G295" s="1" t="str">
        <f>"Nasrallan"</f>
        <v>Nasrallan</v>
      </c>
      <c r="H295" s="1" t="str">
        <f>"0410452"</f>
        <v>0410452</v>
      </c>
      <c r="I295" s="1" t="str">
        <f t="shared" si="28"/>
        <v>M</v>
      </c>
      <c r="J295" s="2">
        <v>1989</v>
      </c>
      <c r="K295" s="1" t="str">
        <f>"1D"</f>
        <v>1D</v>
      </c>
      <c r="L295" s="1" t="str">
        <f>"Senior"</f>
        <v>Senior</v>
      </c>
      <c r="M295" s="1" t="str">
        <f t="shared" si="30"/>
        <v>-81</v>
      </c>
      <c r="N295" s="1" t="str">
        <f>""</f>
        <v/>
      </c>
      <c r="O295" s="1">
        <v>1</v>
      </c>
      <c r="P295" s="1"/>
      <c r="Q295" t="s">
        <v>92</v>
      </c>
    </row>
    <row r="296" spans="1:17" x14ac:dyDescent="0.25">
      <c r="A296" t="str">
        <f>"2018-10-21 18:37:53"</f>
        <v>2018-10-21 18:37:53</v>
      </c>
      <c r="B296" s="1" t="str">
        <f>""</f>
        <v/>
      </c>
      <c r="C296" s="1" t="str">
        <f>"Taifu Judo Club"</f>
        <v>Taifu Judo Club</v>
      </c>
      <c r="D296" s="1" t="str">
        <f>"ON"</f>
        <v>ON</v>
      </c>
      <c r="E296" s="1" t="str">
        <f>"Ontario"</f>
        <v>Ontario</v>
      </c>
      <c r="F296" s="1" t="str">
        <f>"Danil"</f>
        <v>Danil</v>
      </c>
      <c r="G296" s="1" t="str">
        <f>"Neyolov"</f>
        <v>Neyolov</v>
      </c>
      <c r="H296" s="1" t="str">
        <f>"0149675"</f>
        <v>0149675</v>
      </c>
      <c r="I296" s="1" t="str">
        <f t="shared" si="28"/>
        <v>M</v>
      </c>
      <c r="J296" s="2">
        <v>1997</v>
      </c>
      <c r="K296" s="1" t="str">
        <f>"2D"</f>
        <v>2D</v>
      </c>
      <c r="L296" s="1" t="str">
        <f>"Senior"</f>
        <v>Senior</v>
      </c>
      <c r="M296" s="1" t="str">
        <f t="shared" si="30"/>
        <v>-81</v>
      </c>
      <c r="N296" s="1" t="str">
        <f>""</f>
        <v/>
      </c>
      <c r="O296" s="1">
        <v>1</v>
      </c>
      <c r="P296" s="1"/>
      <c r="Q296" t="s">
        <v>92</v>
      </c>
    </row>
    <row r="297" spans="1:17" x14ac:dyDescent="0.25">
      <c r="A297" t="str">
        <f>"2018-10-18 10:00:39"</f>
        <v>2018-10-18 10:00:39</v>
      </c>
      <c r="B297" s="1" t="str">
        <f>""</f>
        <v/>
      </c>
      <c r="C297" s="1" t="str">
        <f>"Club de judo Métropolitain inc."</f>
        <v>Club de judo Métropolitain inc.</v>
      </c>
      <c r="D297" s="1" t="str">
        <f>"QC"</f>
        <v>QC</v>
      </c>
      <c r="E297" s="1" t="str">
        <f>"Quebec"</f>
        <v>Quebec</v>
      </c>
      <c r="F297" s="1" t="str">
        <f>"Martin"</f>
        <v>Martin</v>
      </c>
      <c r="G297" s="1" t="str">
        <f>"Penchev"</f>
        <v>Penchev</v>
      </c>
      <c r="H297" s="1" t="str">
        <f>"0148074"</f>
        <v>0148074</v>
      </c>
      <c r="I297" s="1" t="str">
        <f t="shared" si="28"/>
        <v>M</v>
      </c>
      <c r="J297" s="2">
        <v>2001</v>
      </c>
      <c r="K297" s="1" t="str">
        <f>"1D"</f>
        <v>1D</v>
      </c>
      <c r="L297" s="1" t="s">
        <v>65</v>
      </c>
      <c r="M297" s="1" t="str">
        <f t="shared" si="30"/>
        <v>-81</v>
      </c>
      <c r="N297" s="1" t="str">
        <f>""</f>
        <v/>
      </c>
      <c r="O297" s="1">
        <v>2</v>
      </c>
      <c r="P297" s="1"/>
      <c r="Q297" t="s">
        <v>92</v>
      </c>
    </row>
    <row r="298" spans="1:17" x14ac:dyDescent="0.25">
      <c r="A298" t="str">
        <f>"2018-10-07 10:36:33"</f>
        <v>2018-10-07 10:36:33</v>
      </c>
      <c r="B298" s="1" t="str">
        <f>""</f>
        <v/>
      </c>
      <c r="C298" s="1" t="str">
        <f>"Club de judo Shidokan inc."</f>
        <v>Club de judo Shidokan inc.</v>
      </c>
      <c r="D298" s="1" t="str">
        <f>"QC"</f>
        <v>QC</v>
      </c>
      <c r="E298" s="1" t="str">
        <f>"Quebec"</f>
        <v>Quebec</v>
      </c>
      <c r="F298" s="1" t="str">
        <f>"Olivier"</f>
        <v>Olivier</v>
      </c>
      <c r="G298" s="1" t="str">
        <f>"Rhein"</f>
        <v>Rhein</v>
      </c>
      <c r="H298" s="1" t="str">
        <f>"0190251"</f>
        <v>0190251</v>
      </c>
      <c r="I298" s="1" t="str">
        <f t="shared" si="28"/>
        <v>M</v>
      </c>
      <c r="J298" s="2">
        <v>1997</v>
      </c>
      <c r="K298" s="1" t="str">
        <f>"1k"</f>
        <v>1k</v>
      </c>
      <c r="L298" s="1" t="str">
        <f>"Senior"</f>
        <v>Senior</v>
      </c>
      <c r="M298" s="1" t="str">
        <f t="shared" si="30"/>
        <v>-81</v>
      </c>
      <c r="N298" s="1" t="str">
        <f>""</f>
        <v/>
      </c>
      <c r="O298" s="1">
        <v>1</v>
      </c>
      <c r="P298" s="1"/>
      <c r="Q298" t="s">
        <v>92</v>
      </c>
    </row>
    <row r="299" spans="1:17" x14ac:dyDescent="0.25">
      <c r="A299" t="str">
        <f>"2018-10-18 10:00:39"</f>
        <v>2018-10-18 10:00:39</v>
      </c>
      <c r="B299" s="1" t="str">
        <f>""</f>
        <v/>
      </c>
      <c r="C299" s="1" t="str">
        <f>"Jason Morris Judo Center"</f>
        <v>Jason Morris Judo Center</v>
      </c>
      <c r="D299" s="1" t="s">
        <v>106</v>
      </c>
      <c r="E299" s="1" t="str">
        <f>"United States"</f>
        <v>United States</v>
      </c>
      <c r="F299" s="1" t="str">
        <f>"Nathaniel"</f>
        <v>Nathaniel</v>
      </c>
      <c r="G299" s="1" t="str">
        <f>"Torres"</f>
        <v>Torres</v>
      </c>
      <c r="H299" s="1" t="str">
        <f>"AutreFederation"</f>
        <v>AutreFederation</v>
      </c>
      <c r="I299" s="1" t="str">
        <f t="shared" si="28"/>
        <v>M</v>
      </c>
      <c r="J299" s="2">
        <v>1999</v>
      </c>
      <c r="K299" s="1" t="str">
        <f>"1D"</f>
        <v>1D</v>
      </c>
      <c r="L299" s="1" t="s">
        <v>65</v>
      </c>
      <c r="M299" s="1" t="str">
        <f t="shared" si="30"/>
        <v>-81</v>
      </c>
      <c r="N299" s="1" t="str">
        <f>"-81"</f>
        <v>-81</v>
      </c>
      <c r="O299" s="1">
        <v>2</v>
      </c>
      <c r="P299" s="1"/>
      <c r="Q299" t="s">
        <v>92</v>
      </c>
    </row>
    <row r="300" spans="1:17" x14ac:dyDescent="0.25">
      <c r="A300" t="str">
        <f>"2018-10-03 13:18:09"</f>
        <v>2018-10-03 13:18:09</v>
      </c>
      <c r="B300" s="1" t="str">
        <f>""</f>
        <v/>
      </c>
      <c r="C300" s="1" t="str">
        <f>"Club de Judo et de Ju-Jitsu Juvaldo inc."</f>
        <v>Club de Judo et de Ju-Jitsu Juvaldo inc.</v>
      </c>
      <c r="D300" s="1" t="str">
        <f>"QC"</f>
        <v>QC</v>
      </c>
      <c r="E300" s="1" t="str">
        <f>"Quebec"</f>
        <v>Quebec</v>
      </c>
      <c r="F300" s="1" t="str">
        <f>"Simon"</f>
        <v>Simon</v>
      </c>
      <c r="G300" s="1" t="str">
        <f>"Vallière"</f>
        <v>Vallière</v>
      </c>
      <c r="H300" s="1" t="str">
        <f>"0175406"</f>
        <v>0175406</v>
      </c>
      <c r="I300" s="1" t="str">
        <f t="shared" si="28"/>
        <v>M</v>
      </c>
      <c r="J300" s="2">
        <v>2002</v>
      </c>
      <c r="K300" s="1" t="str">
        <f>"1k"</f>
        <v>1k</v>
      </c>
      <c r="L300" s="1" t="s">
        <v>65</v>
      </c>
      <c r="M300" s="1" t="str">
        <f t="shared" si="30"/>
        <v>-81</v>
      </c>
      <c r="N300" s="1" t="str">
        <f>""</f>
        <v/>
      </c>
      <c r="O300" s="1">
        <v>2</v>
      </c>
      <c r="P300" s="1"/>
      <c r="Q300" t="s">
        <v>92</v>
      </c>
    </row>
    <row r="301" spans="1:17" x14ac:dyDescent="0.25">
      <c r="A301" t="str">
        <f>"2018-10-20 16:16:35"</f>
        <v>2018-10-20 16:16:35</v>
      </c>
      <c r="B301" s="1" t="str">
        <f>""</f>
        <v/>
      </c>
      <c r="C301" s="1" t="str">
        <f>"Upper Canada Judo Club"</f>
        <v>Upper Canada Judo Club</v>
      </c>
      <c r="D301" s="1" t="str">
        <f>"ON"</f>
        <v>ON</v>
      </c>
      <c r="E301" s="1" t="str">
        <f>"Ontario"</f>
        <v>Ontario</v>
      </c>
      <c r="F301" s="1" t="str">
        <f>"Ethan"</f>
        <v>Ethan</v>
      </c>
      <c r="G301" s="1" t="str">
        <f>"Vandersanden"</f>
        <v>Vandersanden</v>
      </c>
      <c r="H301" s="1" t="str">
        <f>"0155022"</f>
        <v>0155022</v>
      </c>
      <c r="I301" s="1" t="str">
        <f t="shared" si="28"/>
        <v>M</v>
      </c>
      <c r="J301" s="2">
        <v>1998</v>
      </c>
      <c r="K301" s="1" t="s">
        <v>158</v>
      </c>
      <c r="L301" s="1" t="str">
        <f>"Senior"</f>
        <v>Senior</v>
      </c>
      <c r="M301" s="1" t="str">
        <f t="shared" si="30"/>
        <v>-81</v>
      </c>
      <c r="N301" s="1" t="str">
        <f>""</f>
        <v/>
      </c>
      <c r="O301" s="1">
        <v>1</v>
      </c>
      <c r="P301" s="1"/>
      <c r="Q301" t="s">
        <v>92</v>
      </c>
    </row>
    <row r="302" spans="1:17" x14ac:dyDescent="0.25">
      <c r="A302" t="str">
        <f>"2018-10-22 13:54:51"</f>
        <v>2018-10-22 13:54:51</v>
      </c>
      <c r="B302" s="1" t="str">
        <f>""</f>
        <v/>
      </c>
      <c r="C302" s="1" t="str">
        <f>"North Bay Dojo Club"</f>
        <v>North Bay Dojo Club</v>
      </c>
      <c r="D302" s="1" t="str">
        <f>"ON"</f>
        <v>ON</v>
      </c>
      <c r="E302" s="1" t="str">
        <f>"Ontario"</f>
        <v>Ontario</v>
      </c>
      <c r="F302" s="1" t="str">
        <f>"Kristopher"</f>
        <v>Kristopher</v>
      </c>
      <c r="G302" s="1" t="str">
        <f>"Boaro"</f>
        <v>Boaro</v>
      </c>
      <c r="H302" s="1" t="str">
        <f>"0155079"</f>
        <v>0155079</v>
      </c>
      <c r="I302" s="1" t="str">
        <f t="shared" si="28"/>
        <v>M</v>
      </c>
      <c r="J302" s="2">
        <v>1994</v>
      </c>
      <c r="K302" s="1" t="str">
        <f>"1D"</f>
        <v>1D</v>
      </c>
      <c r="L302" s="1" t="s">
        <v>65</v>
      </c>
      <c r="M302" s="1" t="str">
        <f>"-90"</f>
        <v>-90</v>
      </c>
      <c r="N302" s="1" t="str">
        <f>"-90"</f>
        <v>-90</v>
      </c>
      <c r="O302" s="1">
        <v>2</v>
      </c>
      <c r="P302" s="1"/>
      <c r="Q302" t="s">
        <v>247</v>
      </c>
    </row>
    <row r="303" spans="1:17" x14ac:dyDescent="0.25">
      <c r="A303" t="str">
        <f>"2018-10-23 11:28:19"</f>
        <v>2018-10-23 11:28:19</v>
      </c>
      <c r="B303" s="1" t="str">
        <f>""</f>
        <v/>
      </c>
      <c r="C303" s="1" t="str">
        <f>"Club de judo de Varennes"</f>
        <v>Club de judo de Varennes</v>
      </c>
      <c r="D303" s="1" t="str">
        <f>"QC"</f>
        <v>QC</v>
      </c>
      <c r="E303" s="1" t="str">
        <f>"Quebec"</f>
        <v>Quebec</v>
      </c>
      <c r="F303" s="1" t="str">
        <f>"Jérôme"</f>
        <v>Jérôme</v>
      </c>
      <c r="G303" s="1" t="str">
        <f>"Champagne"</f>
        <v>Champagne</v>
      </c>
      <c r="H303" s="1" t="str">
        <f>"0173008"</f>
        <v>0173008</v>
      </c>
      <c r="I303" s="1" t="str">
        <f t="shared" si="28"/>
        <v>M</v>
      </c>
      <c r="J303" s="2">
        <v>2001</v>
      </c>
      <c r="K303" s="1" t="str">
        <f>"1k"</f>
        <v>1k</v>
      </c>
      <c r="L303" s="1" t="s">
        <v>65</v>
      </c>
      <c r="M303" s="1" t="str">
        <f t="shared" ref="M303:M316" si="31">"-90"</f>
        <v>-90</v>
      </c>
      <c r="N303" s="1" t="str">
        <f>""</f>
        <v/>
      </c>
      <c r="O303" s="1">
        <v>2</v>
      </c>
      <c r="P303" s="1"/>
      <c r="Q303" t="s">
        <v>247</v>
      </c>
    </row>
    <row r="304" spans="1:17" x14ac:dyDescent="0.25">
      <c r="A304" t="str">
        <f>"2018-10-18 14:52:41"</f>
        <v>2018-10-18 14:52:41</v>
      </c>
      <c r="B304" s="1" t="str">
        <f>""</f>
        <v/>
      </c>
      <c r="C304" s="1" t="str">
        <f>"Fredericton Judo Club"</f>
        <v>Fredericton Judo Club</v>
      </c>
      <c r="D304" s="1" t="str">
        <f>"NB"</f>
        <v>NB</v>
      </c>
      <c r="E304" s="1" t="str">
        <f>"New Brunswick"</f>
        <v>New Brunswick</v>
      </c>
      <c r="F304" s="1" t="str">
        <f>"Alexander"</f>
        <v>Alexander</v>
      </c>
      <c r="G304" s="1" t="str">
        <f>"Colpitts"</f>
        <v>Colpitts</v>
      </c>
      <c r="H304" s="1" t="str">
        <f>"0183923"</f>
        <v>0183923</v>
      </c>
      <c r="I304" s="1" t="str">
        <f t="shared" si="28"/>
        <v>M</v>
      </c>
      <c r="J304" s="2">
        <v>1996</v>
      </c>
      <c r="K304" s="1" t="str">
        <f>"2D"</f>
        <v>2D</v>
      </c>
      <c r="L304" s="1" t="str">
        <f>"Senior"</f>
        <v>Senior</v>
      </c>
      <c r="M304" s="1" t="str">
        <f t="shared" si="31"/>
        <v>-90</v>
      </c>
      <c r="N304" s="1" t="str">
        <f>""</f>
        <v/>
      </c>
      <c r="O304" s="1">
        <v>1</v>
      </c>
      <c r="P304" s="1"/>
      <c r="Q304" t="s">
        <v>247</v>
      </c>
    </row>
    <row r="305" spans="1:17" x14ac:dyDescent="0.25">
      <c r="A305" t="str">
        <f>"2018-10-18 14:52:41"</f>
        <v>2018-10-18 14:52:41</v>
      </c>
      <c r="B305" s="1" t="str">
        <f>""</f>
        <v/>
      </c>
      <c r="C305" s="1" t="str">
        <f>"Académie de Judo de Sept-Iles Inc."</f>
        <v>Académie de Judo de Sept-Iles Inc.</v>
      </c>
      <c r="D305" s="1" t="str">
        <f>"QC"</f>
        <v>QC</v>
      </c>
      <c r="E305" s="1" t="str">
        <f>"Quebec"</f>
        <v>Quebec</v>
      </c>
      <c r="F305" s="1" t="str">
        <f>"Maxime"</f>
        <v>Maxime</v>
      </c>
      <c r="G305" s="1" t="str">
        <f>"Côté"</f>
        <v>Côté</v>
      </c>
      <c r="H305" s="1" t="str">
        <f>"0097624"</f>
        <v>0097624</v>
      </c>
      <c r="I305" s="1" t="str">
        <f t="shared" si="28"/>
        <v>M</v>
      </c>
      <c r="J305" s="2">
        <v>1997</v>
      </c>
      <c r="K305" s="1" t="str">
        <f>"1D"</f>
        <v>1D</v>
      </c>
      <c r="L305" s="1" t="s">
        <v>65</v>
      </c>
      <c r="M305" s="1" t="str">
        <f t="shared" si="31"/>
        <v>-90</v>
      </c>
      <c r="N305" s="1" t="str">
        <f>""</f>
        <v/>
      </c>
      <c r="O305" s="1">
        <v>2</v>
      </c>
      <c r="P305" s="1"/>
      <c r="Q305" t="s">
        <v>247</v>
      </c>
    </row>
    <row r="306" spans="1:17" x14ac:dyDescent="0.25">
      <c r="B306" s="1" t="str">
        <f>""</f>
        <v/>
      </c>
      <c r="C306" s="1" t="str">
        <f>"Cloverdale Judo Club"</f>
        <v>Cloverdale Judo Club</v>
      </c>
      <c r="D306" s="1" t="str">
        <f>"ON"</f>
        <v>ON</v>
      </c>
      <c r="E306" s="1" t="str">
        <f>"Ontario"</f>
        <v>Ontario</v>
      </c>
      <c r="F306" s="1" t="str">
        <f>"Christopher"</f>
        <v>Christopher</v>
      </c>
      <c r="G306" s="1" t="str">
        <f>"Dube"</f>
        <v>Dube</v>
      </c>
      <c r="H306" s="1" t="str">
        <f>"0193909"</f>
        <v>0193909</v>
      </c>
      <c r="I306" s="1" t="str">
        <f t="shared" si="28"/>
        <v>M</v>
      </c>
      <c r="J306" s="1">
        <v>1991</v>
      </c>
      <c r="K306" s="1" t="s">
        <v>21</v>
      </c>
      <c r="L306" s="1" t="str">
        <f>"Senior"</f>
        <v>Senior</v>
      </c>
      <c r="M306" s="1" t="str">
        <f t="shared" si="31"/>
        <v>-90</v>
      </c>
      <c r="N306" s="1" t="str">
        <f>""</f>
        <v/>
      </c>
      <c r="O306" s="1"/>
      <c r="P306" s="1"/>
      <c r="Q306" t="s">
        <v>247</v>
      </c>
    </row>
    <row r="307" spans="1:17" x14ac:dyDescent="0.25">
      <c r="A307" t="str">
        <f>"2018-09-25 22:38:33"</f>
        <v>2018-09-25 22:38:33</v>
      </c>
      <c r="B307" s="1" t="str">
        <f>""</f>
        <v/>
      </c>
      <c r="C307" s="1" t="str">
        <f>"Judo Rive-Sud"</f>
        <v>Judo Rive-Sud</v>
      </c>
      <c r="D307" s="1" t="str">
        <f>"QC"</f>
        <v>QC</v>
      </c>
      <c r="E307" s="1" t="str">
        <f>"Quebec"</f>
        <v>Quebec</v>
      </c>
      <c r="F307" s="1" t="str">
        <f>"Marc-André"</f>
        <v>Marc-André</v>
      </c>
      <c r="G307" s="1" t="str">
        <f>"Duff"</f>
        <v>Duff</v>
      </c>
      <c r="H307" s="1" t="str">
        <f>"0081489"</f>
        <v>0081489</v>
      </c>
      <c r="I307" s="1" t="str">
        <f t="shared" si="28"/>
        <v>M</v>
      </c>
      <c r="J307" s="2">
        <v>1991</v>
      </c>
      <c r="K307" s="1" t="str">
        <f>"1k"</f>
        <v>1k</v>
      </c>
      <c r="L307" s="1" t="str">
        <f>"Senior"</f>
        <v>Senior</v>
      </c>
      <c r="M307" s="1" t="str">
        <f t="shared" si="31"/>
        <v>-90</v>
      </c>
      <c r="N307" s="1" t="str">
        <f>""</f>
        <v/>
      </c>
      <c r="O307" s="1">
        <v>1</v>
      </c>
      <c r="P307" s="1"/>
      <c r="Q307" t="s">
        <v>247</v>
      </c>
    </row>
    <row r="308" spans="1:17" x14ac:dyDescent="0.25">
      <c r="A308" t="str">
        <f>"2018-10-21 19:18:23"</f>
        <v>2018-10-21 19:18:23</v>
      </c>
      <c r="B308" s="1" t="str">
        <f>""</f>
        <v/>
      </c>
      <c r="C308" s="1" t="str">
        <f>"Jccc - Judo Kai"</f>
        <v>Jccc - Judo Kai</v>
      </c>
      <c r="D308" s="1" t="str">
        <f>"ON"</f>
        <v>ON</v>
      </c>
      <c r="E308" s="1" t="str">
        <f>"Ontario"</f>
        <v>Ontario</v>
      </c>
      <c r="F308" s="1" t="str">
        <f>"Mohab"</f>
        <v>Mohab</v>
      </c>
      <c r="G308" s="1" t="str">
        <f>"Elnahas"</f>
        <v>Elnahas</v>
      </c>
      <c r="H308" s="1" t="str">
        <f>"0185977"</f>
        <v>0185977</v>
      </c>
      <c r="I308" s="1" t="str">
        <f t="shared" si="28"/>
        <v>M</v>
      </c>
      <c r="J308" s="2">
        <v>1996</v>
      </c>
      <c r="K308" s="1" t="str">
        <f>"1D"</f>
        <v>1D</v>
      </c>
      <c r="L308" s="1" t="str">
        <f>"Senior"</f>
        <v>Senior</v>
      </c>
      <c r="M308" s="1" t="str">
        <f t="shared" si="31"/>
        <v>-90</v>
      </c>
      <c r="N308" s="1" t="str">
        <f>""</f>
        <v/>
      </c>
      <c r="O308" s="1">
        <v>1</v>
      </c>
      <c r="P308" s="1"/>
      <c r="Q308" t="s">
        <v>247</v>
      </c>
    </row>
    <row r="309" spans="1:17" x14ac:dyDescent="0.25">
      <c r="A309" t="str">
        <f>"2018-09-24 12:13:53"</f>
        <v>2018-09-24 12:13:53</v>
      </c>
      <c r="B309" s="1" t="str">
        <f>""</f>
        <v/>
      </c>
      <c r="C309" s="1" t="str">
        <f>"Club de judo Seïkidokan inc."</f>
        <v>Club de judo Seïkidokan inc.</v>
      </c>
      <c r="D309" s="1" t="str">
        <f>"QC"</f>
        <v>QC</v>
      </c>
      <c r="E309" s="1" t="str">
        <f>"Quebec"</f>
        <v>Quebec</v>
      </c>
      <c r="F309" s="1" t="str">
        <f>"Olivier"</f>
        <v>Olivier</v>
      </c>
      <c r="G309" s="1" t="str">
        <f>"Gobeil St-Amand"</f>
        <v>Gobeil St-Amand</v>
      </c>
      <c r="H309" s="1" t="str">
        <f>"0136347"</f>
        <v>0136347</v>
      </c>
      <c r="I309" s="1" t="str">
        <f t="shared" si="28"/>
        <v>M</v>
      </c>
      <c r="J309" s="2">
        <v>1996</v>
      </c>
      <c r="K309" s="1" t="str">
        <f>"2D"</f>
        <v>2D</v>
      </c>
      <c r="L309" s="1" t="str">
        <f>"Senior"</f>
        <v>Senior</v>
      </c>
      <c r="M309" s="1" t="str">
        <f t="shared" si="31"/>
        <v>-90</v>
      </c>
      <c r="N309" s="1" t="str">
        <f>""</f>
        <v/>
      </c>
      <c r="O309" s="1">
        <v>1</v>
      </c>
      <c r="P309" s="1"/>
      <c r="Q309" t="s">
        <v>247</v>
      </c>
    </row>
    <row r="310" spans="1:17" x14ac:dyDescent="0.25">
      <c r="A310" t="str">
        <f>"2018-10-18 10:00:39"</f>
        <v>2018-10-18 10:00:39</v>
      </c>
      <c r="B310" s="1" t="str">
        <f>""</f>
        <v/>
      </c>
      <c r="C310" s="1" t="str">
        <f>"Takahashi Dojo"</f>
        <v>Takahashi Dojo</v>
      </c>
      <c r="D310" s="1" t="str">
        <f>"ON"</f>
        <v>ON</v>
      </c>
      <c r="E310" s="1" t="str">
        <f>"Ontario"</f>
        <v>Ontario</v>
      </c>
      <c r="F310" s="1" t="str">
        <f>"Benjamin"</f>
        <v>Benjamin</v>
      </c>
      <c r="G310" s="1" t="str">
        <f>"Kendrick"</f>
        <v>Kendrick</v>
      </c>
      <c r="H310" s="1" t="str">
        <f>"0138938"</f>
        <v>0138938</v>
      </c>
      <c r="I310" s="1" t="str">
        <f t="shared" si="28"/>
        <v>M</v>
      </c>
      <c r="J310" s="2">
        <v>2000</v>
      </c>
      <c r="K310" s="1" t="str">
        <f>"2D"</f>
        <v>2D</v>
      </c>
      <c r="L310" s="1" t="s">
        <v>65</v>
      </c>
      <c r="M310" s="1" t="str">
        <f t="shared" si="31"/>
        <v>-90</v>
      </c>
      <c r="N310" s="1" t="str">
        <f>""</f>
        <v/>
      </c>
      <c r="O310" s="1">
        <v>2</v>
      </c>
      <c r="P310" s="1"/>
      <c r="Q310" t="s">
        <v>247</v>
      </c>
    </row>
    <row r="311" spans="1:17" x14ac:dyDescent="0.25">
      <c r="A311" t="str">
        <f>"2018-10-23 11:33:58"</f>
        <v>2018-10-23 11:33:58</v>
      </c>
      <c r="B311" s="1" t="str">
        <f>""</f>
        <v/>
      </c>
      <c r="C311" s="1" t="str">
        <f>"Olympic Judo Centre"</f>
        <v>Olympic Judo Centre</v>
      </c>
      <c r="D311" s="1" t="str">
        <f>"ON"</f>
        <v>ON</v>
      </c>
      <c r="E311" s="1" t="str">
        <f>"Ontario"</f>
        <v>Ontario</v>
      </c>
      <c r="F311" s="1" t="str">
        <f>"Luka"</f>
        <v>Luka</v>
      </c>
      <c r="G311" s="1" t="str">
        <f>"Khatelishvili"</f>
        <v>Khatelishvili</v>
      </c>
      <c r="H311" s="1" t="str">
        <f>"0017313"</f>
        <v>0017313</v>
      </c>
      <c r="I311" s="1" t="str">
        <f t="shared" si="28"/>
        <v>M</v>
      </c>
      <c r="J311" s="2">
        <v>2000</v>
      </c>
      <c r="K311" s="1" t="str">
        <f>"1D"</f>
        <v>1D</v>
      </c>
      <c r="L311" s="1" t="s">
        <v>65</v>
      </c>
      <c r="M311" s="1" t="str">
        <f t="shared" si="31"/>
        <v>-90</v>
      </c>
      <c r="N311" s="1" t="str">
        <f>""</f>
        <v/>
      </c>
      <c r="O311" s="1">
        <v>2</v>
      </c>
      <c r="P311" s="1"/>
      <c r="Q311" t="s">
        <v>247</v>
      </c>
    </row>
    <row r="312" spans="1:17" x14ac:dyDescent="0.25">
      <c r="A312" t="str">
        <f>"2018-10-23 11:28:19"</f>
        <v>2018-10-23 11:28:19</v>
      </c>
      <c r="B312" s="1" t="str">
        <f>""</f>
        <v/>
      </c>
      <c r="C312" s="1" t="str">
        <f>"Club Judokan Port Cartier"</f>
        <v>Club Judokan Port Cartier</v>
      </c>
      <c r="D312" s="1" t="str">
        <f>"QC"</f>
        <v>QC</v>
      </c>
      <c r="E312" s="1" t="str">
        <f>"Quebec"</f>
        <v>Quebec</v>
      </c>
      <c r="F312" s="1" t="str">
        <f>"Nicolas"</f>
        <v>Nicolas</v>
      </c>
      <c r="G312" s="1" t="str">
        <f>"Levesque Lessard"</f>
        <v>Levesque Lessard</v>
      </c>
      <c r="H312" s="1" t="str">
        <f>"0208174"</f>
        <v>0208174</v>
      </c>
      <c r="I312" s="1" t="str">
        <f t="shared" si="28"/>
        <v>M</v>
      </c>
      <c r="J312" s="2">
        <v>2001</v>
      </c>
      <c r="K312" s="1" t="str">
        <f>"1k"</f>
        <v>1k</v>
      </c>
      <c r="L312" s="1" t="s">
        <v>65</v>
      </c>
      <c r="M312" s="1" t="str">
        <f t="shared" si="31"/>
        <v>-90</v>
      </c>
      <c r="N312" s="1" t="str">
        <f>""</f>
        <v/>
      </c>
      <c r="O312" s="1">
        <v>2</v>
      </c>
      <c r="P312" s="1"/>
      <c r="Q312" t="s">
        <v>247</v>
      </c>
    </row>
    <row r="313" spans="1:17" x14ac:dyDescent="0.25">
      <c r="A313" t="str">
        <f>"2018-10-01 17:12:37"</f>
        <v>2018-10-01 17:12:37</v>
      </c>
      <c r="B313" s="1" t="str">
        <f>""</f>
        <v/>
      </c>
      <c r="C313" s="1" t="str">
        <f>"Club de judo Métropolitain inc."</f>
        <v>Club de judo Métropolitain inc.</v>
      </c>
      <c r="D313" s="1" t="str">
        <f>"QC"</f>
        <v>QC</v>
      </c>
      <c r="E313" s="1" t="str">
        <f>"Quebec"</f>
        <v>Quebec</v>
      </c>
      <c r="F313" s="1" t="str">
        <f>"Yohann"</f>
        <v>Yohann</v>
      </c>
      <c r="G313" s="1" t="str">
        <f>"Marconnet"</f>
        <v>Marconnet</v>
      </c>
      <c r="H313" s="1" t="str">
        <f>"0239273"</f>
        <v>0239273</v>
      </c>
      <c r="I313" s="1" t="str">
        <f t="shared" si="28"/>
        <v>M</v>
      </c>
      <c r="J313" s="2">
        <v>1991</v>
      </c>
      <c r="K313" s="1" t="str">
        <f>"1D"</f>
        <v>1D</v>
      </c>
      <c r="L313" s="1" t="str">
        <f>"Senior"</f>
        <v>Senior</v>
      </c>
      <c r="M313" s="1" t="str">
        <f t="shared" si="31"/>
        <v>-90</v>
      </c>
      <c r="N313" s="1" t="str">
        <f>""</f>
        <v/>
      </c>
      <c r="O313" s="1">
        <v>1</v>
      </c>
      <c r="P313" s="1"/>
      <c r="Q313" t="s">
        <v>247</v>
      </c>
    </row>
    <row r="314" spans="1:17" x14ac:dyDescent="0.25">
      <c r="A314" t="str">
        <f>"2018-10-18 10:00:39"</f>
        <v>2018-10-18 10:00:39</v>
      </c>
      <c r="B314" s="1" t="str">
        <f>""</f>
        <v/>
      </c>
      <c r="C314" s="1" t="str">
        <f>"Steveston Judo Club"</f>
        <v>Steveston Judo Club</v>
      </c>
      <c r="D314" s="1" t="str">
        <f>"BC"</f>
        <v>BC</v>
      </c>
      <c r="E314" s="1" t="str">
        <f>"British Columbia"</f>
        <v>British Columbia</v>
      </c>
      <c r="F314" s="1" t="str">
        <f>"Ian"</f>
        <v>Ian</v>
      </c>
      <c r="G314" s="1" t="str">
        <f>"Ryder"</f>
        <v>Ryder</v>
      </c>
      <c r="H314" s="1" t="str">
        <f>"0154044"</f>
        <v>0154044</v>
      </c>
      <c r="I314" s="1" t="str">
        <f t="shared" si="28"/>
        <v>M</v>
      </c>
      <c r="J314" s="2">
        <v>2001</v>
      </c>
      <c r="K314" s="1" t="str">
        <f>"1D"</f>
        <v>1D</v>
      </c>
      <c r="L314" s="1" t="s">
        <v>65</v>
      </c>
      <c r="M314" s="1" t="str">
        <f t="shared" si="31"/>
        <v>-90</v>
      </c>
      <c r="N314" s="1" t="str">
        <f>""</f>
        <v/>
      </c>
      <c r="O314" s="1">
        <v>2</v>
      </c>
      <c r="P314" s="1"/>
      <c r="Q314" t="s">
        <v>247</v>
      </c>
    </row>
    <row r="315" spans="1:17" x14ac:dyDescent="0.25">
      <c r="A315" t="str">
        <f>"2018-10-21 19:16:34"</f>
        <v>2018-10-21 19:16:34</v>
      </c>
      <c r="B315" s="1" t="str">
        <f>""</f>
        <v/>
      </c>
      <c r="C315" s="1" t="str">
        <f>"Cloverdale Judo Club"</f>
        <v>Cloverdale Judo Club</v>
      </c>
      <c r="D315" s="1" t="str">
        <f>"ON"</f>
        <v>ON</v>
      </c>
      <c r="E315" s="1" t="str">
        <f>"Ontario"</f>
        <v>Ontario</v>
      </c>
      <c r="F315" s="1" t="str">
        <f>"Michael"</f>
        <v>Michael</v>
      </c>
      <c r="G315" s="1" t="str">
        <f>"Sirghe"</f>
        <v>Sirghe</v>
      </c>
      <c r="H315" s="7" t="str">
        <f>"AutreFederation"</f>
        <v>AutreFederation</v>
      </c>
      <c r="I315" s="1" t="str">
        <f t="shared" si="28"/>
        <v>M</v>
      </c>
      <c r="J315" s="2">
        <v>1997</v>
      </c>
      <c r="K315" s="1" t="str">
        <f>"1k"</f>
        <v>1k</v>
      </c>
      <c r="L315" s="1" t="str">
        <f>"Senior"</f>
        <v>Senior</v>
      </c>
      <c r="M315" s="1" t="str">
        <f t="shared" si="31"/>
        <v>-90</v>
      </c>
      <c r="N315" s="1" t="str">
        <f>""</f>
        <v/>
      </c>
      <c r="O315" s="1">
        <v>1</v>
      </c>
      <c r="P315" s="1"/>
      <c r="Q315" t="s">
        <v>247</v>
      </c>
    </row>
    <row r="316" spans="1:17" x14ac:dyDescent="0.25">
      <c r="A316" t="str">
        <f>"2018-10-18 14:52:41"</f>
        <v>2018-10-18 14:52:41</v>
      </c>
      <c r="B316" s="1" t="str">
        <f>""</f>
        <v/>
      </c>
      <c r="C316" s="1" t="str">
        <f>"R.a. Judo Club"</f>
        <v>R.a. Judo Club</v>
      </c>
      <c r="D316" s="1" t="str">
        <f>"ON"</f>
        <v>ON</v>
      </c>
      <c r="E316" s="1" t="str">
        <f>"Ontario"</f>
        <v>Ontario</v>
      </c>
      <c r="F316" s="1" t="str">
        <f>"Mahim"</f>
        <v>Mahim</v>
      </c>
      <c r="G316" s="1" t="str">
        <f>"Temacini"</f>
        <v>Temacini</v>
      </c>
      <c r="H316" s="1" t="str">
        <f>"0227562"</f>
        <v>0227562</v>
      </c>
      <c r="I316" s="1" t="str">
        <f t="shared" si="28"/>
        <v>M</v>
      </c>
      <c r="J316" s="2">
        <v>1996</v>
      </c>
      <c r="K316" s="1" t="str">
        <f>"1k"</f>
        <v>1k</v>
      </c>
      <c r="L316" s="1" t="str">
        <f>"Senior"</f>
        <v>Senior</v>
      </c>
      <c r="M316" s="1" t="str">
        <f t="shared" si="31"/>
        <v>-90</v>
      </c>
      <c r="N316" s="1" t="str">
        <f>""</f>
        <v/>
      </c>
      <c r="O316" s="1">
        <v>1</v>
      </c>
      <c r="P316" s="1"/>
      <c r="Q316" t="s">
        <v>247</v>
      </c>
    </row>
    <row r="317" spans="1:17" x14ac:dyDescent="0.25">
      <c r="A317" t="str">
        <f>"2018-10-21 13:01:11"</f>
        <v>2018-10-21 13:01:11</v>
      </c>
      <c r="B317" s="1" t="str">
        <f>""</f>
        <v/>
      </c>
      <c r="C317" s="1" t="str">
        <f>"Académie de Judo de Sept-Iles Inc."</f>
        <v>Académie de Judo de Sept-Iles Inc.</v>
      </c>
      <c r="D317" s="1" t="str">
        <f>"QC"</f>
        <v>QC</v>
      </c>
      <c r="E317" s="1" t="str">
        <f>"Quebec"</f>
        <v>Quebec</v>
      </c>
      <c r="F317" s="1" t="str">
        <f>"Yohan"</f>
        <v>Yohan</v>
      </c>
      <c r="G317" s="1" t="str">
        <f>"Chouinard"</f>
        <v>Chouinard</v>
      </c>
      <c r="H317" s="1" t="str">
        <f>"0162636"</f>
        <v>0162636</v>
      </c>
      <c r="I317" s="1" t="str">
        <f t="shared" si="28"/>
        <v>M</v>
      </c>
      <c r="J317" s="2">
        <v>1999</v>
      </c>
      <c r="K317" s="1" t="str">
        <f>"1D"</f>
        <v>1D</v>
      </c>
      <c r="L317" s="1" t="s">
        <v>65</v>
      </c>
      <c r="M317" s="1" t="str">
        <f t="shared" ref="M317:M323" si="32">"-100"</f>
        <v>-100</v>
      </c>
      <c r="N317" s="1" t="str">
        <f>""</f>
        <v/>
      </c>
      <c r="O317" s="1">
        <v>2</v>
      </c>
      <c r="P317" s="1"/>
      <c r="Q317" t="s">
        <v>248</v>
      </c>
    </row>
    <row r="318" spans="1:17" x14ac:dyDescent="0.25">
      <c r="A318" t="str">
        <f>"2018-10-21 13:01:11"</f>
        <v>2018-10-21 13:01:11</v>
      </c>
      <c r="B318" s="1" t="str">
        <f>""</f>
        <v/>
      </c>
      <c r="C318" s="1" t="str">
        <f>"Jccc - Judo Kai"</f>
        <v>Jccc - Judo Kai</v>
      </c>
      <c r="D318" s="1" t="str">
        <f>"ON"</f>
        <v>ON</v>
      </c>
      <c r="E318" s="1" t="str">
        <f>"Ontario"</f>
        <v>Ontario</v>
      </c>
      <c r="F318" s="1" t="str">
        <f>"Shady"</f>
        <v>Shady</v>
      </c>
      <c r="G318" s="1" t="str">
        <f>"El Nahas"</f>
        <v>El Nahas</v>
      </c>
      <c r="H318" s="1" t="str">
        <f>"0185980"</f>
        <v>0185980</v>
      </c>
      <c r="I318" s="1" t="str">
        <f t="shared" si="28"/>
        <v>M</v>
      </c>
      <c r="J318" s="2">
        <v>1998</v>
      </c>
      <c r="K318" s="1" t="str">
        <f>"1D"</f>
        <v>1D</v>
      </c>
      <c r="L318" s="1" t="str">
        <f>"Senior"</f>
        <v>Senior</v>
      </c>
      <c r="M318" s="1" t="str">
        <f t="shared" si="32"/>
        <v>-100</v>
      </c>
      <c r="N318" s="1" t="str">
        <f>""</f>
        <v/>
      </c>
      <c r="O318" s="1">
        <v>1</v>
      </c>
      <c r="P318" s="1"/>
      <c r="Q318" t="s">
        <v>248</v>
      </c>
    </row>
    <row r="319" spans="1:17" x14ac:dyDescent="0.25">
      <c r="A319" t="str">
        <f>"2018-10-21 13:01:11"</f>
        <v>2018-10-21 13:01:11</v>
      </c>
      <c r="B319" s="1" t="str">
        <f>""</f>
        <v/>
      </c>
      <c r="C319" s="1" t="str">
        <f>"Judo Évolution"</f>
        <v>Judo Évolution</v>
      </c>
      <c r="D319" s="1" t="str">
        <f>"QC"</f>
        <v>QC</v>
      </c>
      <c r="E319" s="1" t="str">
        <f>"Quebec"</f>
        <v>Quebec</v>
      </c>
      <c r="F319" s="1" t="str">
        <f>"Michael"</f>
        <v>Michael</v>
      </c>
      <c r="G319" s="1" t="str">
        <f>"Guerault"</f>
        <v>Guerault</v>
      </c>
      <c r="H319" s="1" t="str">
        <f>"0223864"</f>
        <v>0223864</v>
      </c>
      <c r="I319" s="1" t="str">
        <f t="shared" si="28"/>
        <v>M</v>
      </c>
      <c r="J319" s="2">
        <v>1988</v>
      </c>
      <c r="K319" s="1" t="str">
        <f>"1k"</f>
        <v>1k</v>
      </c>
      <c r="L319" s="1" t="str">
        <f>"Senior"</f>
        <v>Senior</v>
      </c>
      <c r="M319" s="1" t="str">
        <f t="shared" si="32"/>
        <v>-100</v>
      </c>
      <c r="N319" s="1" t="str">
        <f>""</f>
        <v/>
      </c>
      <c r="O319" s="1">
        <v>1</v>
      </c>
      <c r="P319" s="1"/>
      <c r="Q319" t="s">
        <v>248</v>
      </c>
    </row>
    <row r="320" spans="1:17" x14ac:dyDescent="0.25">
      <c r="A320" t="str">
        <f>"2018-10-21 13:01:11"</f>
        <v>2018-10-21 13:01:11</v>
      </c>
      <c r="B320" s="1" t="str">
        <f>""</f>
        <v/>
      </c>
      <c r="C320" s="1" t="str">
        <f>"Takahashi Dojo"</f>
        <v>Takahashi Dojo</v>
      </c>
      <c r="D320" s="1" t="str">
        <f>"ON"</f>
        <v>ON</v>
      </c>
      <c r="E320" s="1" t="str">
        <f>"Ontario"</f>
        <v>Ontario</v>
      </c>
      <c r="F320" s="1" t="str">
        <f>"Kryrylchuk"</f>
        <v>Kryrylchuk</v>
      </c>
      <c r="G320" s="1" t="str">
        <f>"Ivan"</f>
        <v>Ivan</v>
      </c>
      <c r="H320" s="1" t="str">
        <f>"0217667"</f>
        <v>0217667</v>
      </c>
      <c r="I320" s="1" t="str">
        <f t="shared" si="28"/>
        <v>M</v>
      </c>
      <c r="J320" s="2">
        <v>1996</v>
      </c>
      <c r="K320" s="1" t="str">
        <f>"1k"</f>
        <v>1k</v>
      </c>
      <c r="L320" s="1" t="str">
        <f>"Senior"</f>
        <v>Senior</v>
      </c>
      <c r="M320" s="1" t="str">
        <f t="shared" si="32"/>
        <v>-100</v>
      </c>
      <c r="N320" s="1" t="str">
        <f>""</f>
        <v/>
      </c>
      <c r="O320" s="1">
        <v>1</v>
      </c>
      <c r="P320" s="1"/>
      <c r="Q320" t="s">
        <v>248</v>
      </c>
    </row>
    <row r="321" spans="1:17" x14ac:dyDescent="0.25">
      <c r="A321" t="str">
        <f>"2018-10-21 13:01:11"</f>
        <v>2018-10-21 13:01:11</v>
      </c>
      <c r="B321" s="1" t="str">
        <f>""</f>
        <v/>
      </c>
      <c r="C321" s="1" t="str">
        <f>"Steveston Judo Club"</f>
        <v>Steveston Judo Club</v>
      </c>
      <c r="D321" s="1" t="str">
        <f>"BC"</f>
        <v>BC</v>
      </c>
      <c r="E321" s="1" t="str">
        <f>"British Columbia"</f>
        <v>British Columbia</v>
      </c>
      <c r="F321" s="1" t="str">
        <f>"Tavis"</f>
        <v>Tavis</v>
      </c>
      <c r="G321" s="1" t="str">
        <f>"Jamieson"</f>
        <v>Jamieson</v>
      </c>
      <c r="H321" s="1" t="str">
        <f>"0154080"</f>
        <v>0154080</v>
      </c>
      <c r="I321" s="1" t="str">
        <f t="shared" si="28"/>
        <v>M</v>
      </c>
      <c r="J321" s="2">
        <v>1996</v>
      </c>
      <c r="K321" s="1" t="str">
        <f>"2D"</f>
        <v>2D</v>
      </c>
      <c r="L321" s="1" t="s">
        <v>65</v>
      </c>
      <c r="M321" s="1" t="str">
        <f t="shared" si="32"/>
        <v>-100</v>
      </c>
      <c r="N321" s="1" t="str">
        <f>"100kg"</f>
        <v>100kg</v>
      </c>
      <c r="O321" s="1">
        <v>2</v>
      </c>
      <c r="P321" s="1"/>
      <c r="Q321" t="s">
        <v>248</v>
      </c>
    </row>
    <row r="322" spans="1:17" x14ac:dyDescent="0.25">
      <c r="B322" s="1" t="str">
        <f>""</f>
        <v/>
      </c>
      <c r="C322" s="1" t="str">
        <f>"Taifu Judo Club"</f>
        <v>Taifu Judo Club</v>
      </c>
      <c r="D322" s="1" t="str">
        <f>"ON"</f>
        <v>ON</v>
      </c>
      <c r="E322" s="1" t="str">
        <f>"Ontario"</f>
        <v>Ontario</v>
      </c>
      <c r="F322" s="1" t="str">
        <f>"Kyrylo"</f>
        <v>Kyrylo</v>
      </c>
      <c r="G322" s="1" t="str">
        <f>"Sozin"</f>
        <v>Sozin</v>
      </c>
      <c r="H322" s="1" t="str">
        <f>"0170380"</f>
        <v>0170380</v>
      </c>
      <c r="I322" s="1" t="str">
        <f t="shared" si="28"/>
        <v>M</v>
      </c>
      <c r="J322" s="1">
        <v>1996</v>
      </c>
      <c r="K322" s="1" t="s">
        <v>158</v>
      </c>
      <c r="L322" s="1" t="str">
        <f>"Senior"</f>
        <v>Senior</v>
      </c>
      <c r="M322" s="1" t="str">
        <f t="shared" si="32"/>
        <v>-100</v>
      </c>
      <c r="N322" s="1"/>
      <c r="O322" s="1">
        <v>1</v>
      </c>
      <c r="P322" s="1"/>
      <c r="Q322" t="s">
        <v>248</v>
      </c>
    </row>
    <row r="323" spans="1:17" x14ac:dyDescent="0.25">
      <c r="A323" t="str">
        <f>"2018-10-21 12:28:44"</f>
        <v>2018-10-21 12:28:44</v>
      </c>
      <c r="B323" s="1" t="str">
        <f>""</f>
        <v/>
      </c>
      <c r="C323" s="1" t="str">
        <f>"Club de judo Olympique"</f>
        <v>Club de judo Olympique</v>
      </c>
      <c r="D323" s="1" t="str">
        <f>"QC"</f>
        <v>QC</v>
      </c>
      <c r="E323" s="1" t="str">
        <f>"Quebec"</f>
        <v>Quebec</v>
      </c>
      <c r="F323" s="1" t="str">
        <f>"Rogerio Tadeu"</f>
        <v>Rogerio Tadeu</v>
      </c>
      <c r="G323" s="1" t="str">
        <f>"Valentim Junior"</f>
        <v>Valentim Junior</v>
      </c>
      <c r="H323" s="1" t="str">
        <f>"0000000"</f>
        <v>0000000</v>
      </c>
      <c r="I323" s="1" t="str">
        <f t="shared" si="28"/>
        <v>M</v>
      </c>
      <c r="J323" s="2">
        <v>1988</v>
      </c>
      <c r="K323" s="1" t="str">
        <f>"1D"</f>
        <v>1D</v>
      </c>
      <c r="L323" s="1" t="str">
        <f>"Senior"</f>
        <v>Senior</v>
      </c>
      <c r="M323" s="1" t="str">
        <f t="shared" si="32"/>
        <v>-100</v>
      </c>
      <c r="N323" s="1" t="str">
        <f>""</f>
        <v/>
      </c>
      <c r="O323" s="1">
        <v>1</v>
      </c>
      <c r="P323" s="1"/>
      <c r="Q323" t="s">
        <v>248</v>
      </c>
    </row>
    <row r="324" spans="1:17" x14ac:dyDescent="0.25">
      <c r="B324" s="1" t="str">
        <f>""</f>
        <v/>
      </c>
      <c r="C324" s="1" t="str">
        <f>"Olympic Judo Centre"</f>
        <v>Olympic Judo Centre</v>
      </c>
      <c r="D324" s="1" t="s">
        <v>27</v>
      </c>
      <c r="E324" s="1" t="str">
        <f>"Ontario"</f>
        <v>Ontario</v>
      </c>
      <c r="F324" s="1" t="str">
        <f>"Nikoloz"</f>
        <v>Nikoloz</v>
      </c>
      <c r="G324" s="1" t="str">
        <f>"Gogichashvili"</f>
        <v>Gogichashvili</v>
      </c>
      <c r="H324" s="1" t="str">
        <f>"0232247"</f>
        <v>0232247</v>
      </c>
      <c r="I324" s="1" t="str">
        <f t="shared" si="28"/>
        <v>M</v>
      </c>
      <c r="J324" s="1">
        <v>2006</v>
      </c>
      <c r="K324" s="1" t="s">
        <v>73</v>
      </c>
      <c r="L324" s="1" t="str">
        <f t="shared" ref="L324:L387" si="33">"U14"</f>
        <v>U14</v>
      </c>
      <c r="M324" s="1" t="str">
        <f>"+66"</f>
        <v>+66</v>
      </c>
      <c r="N324" s="1" t="str">
        <f>""</f>
        <v/>
      </c>
      <c r="O324" s="1"/>
      <c r="P324" s="1"/>
      <c r="Q324" t="s">
        <v>249</v>
      </c>
    </row>
    <row r="325" spans="1:17" x14ac:dyDescent="0.25">
      <c r="A325" t="str">
        <f>"2018-10-08 19:34:10"</f>
        <v>2018-10-08 19:34:10</v>
      </c>
      <c r="B325" s="1" t="str">
        <f>""</f>
        <v/>
      </c>
      <c r="C325" s="1" t="str">
        <f>"Club de Judo Boucherville inc."</f>
        <v>Club de Judo Boucherville inc.</v>
      </c>
      <c r="D325" s="1" t="str">
        <f>"QC"</f>
        <v>QC</v>
      </c>
      <c r="E325" s="1" t="str">
        <f>"Quebec"</f>
        <v>Quebec</v>
      </c>
      <c r="F325" s="1" t="str">
        <f>"Henri"</f>
        <v>Henri</v>
      </c>
      <c r="G325" s="1" t="str">
        <f>"Saumure"</f>
        <v>Saumure</v>
      </c>
      <c r="H325" s="1" t="str">
        <f>"0181797"</f>
        <v>0181797</v>
      </c>
      <c r="I325" s="1" t="str">
        <f t="shared" si="28"/>
        <v>M</v>
      </c>
      <c r="J325" s="2">
        <v>2006</v>
      </c>
      <c r="K325" s="1" t="str">
        <f>"3k+"</f>
        <v>3k+</v>
      </c>
      <c r="L325" s="1" t="str">
        <f t="shared" si="33"/>
        <v>U14</v>
      </c>
      <c r="M325" s="1" t="str">
        <f>"+66"</f>
        <v>+66</v>
      </c>
      <c r="N325" s="1" t="str">
        <f>""</f>
        <v/>
      </c>
      <c r="O325" s="1">
        <v>1</v>
      </c>
      <c r="P325" s="1"/>
      <c r="Q325" t="s">
        <v>249</v>
      </c>
    </row>
    <row r="326" spans="1:17" x14ac:dyDescent="0.25">
      <c r="A326" t="str">
        <f>"2018-10-19 13:43:18"</f>
        <v>2018-10-19 13:43:18</v>
      </c>
      <c r="B326" s="1" t="str">
        <f>""</f>
        <v/>
      </c>
      <c r="C326" s="1" t="str">
        <f>"Club de judo Torakai"</f>
        <v>Club de judo Torakai</v>
      </c>
      <c r="D326" s="1" t="str">
        <f>"QC"</f>
        <v>QC</v>
      </c>
      <c r="E326" s="1" t="str">
        <f>"Quebec"</f>
        <v>Quebec</v>
      </c>
      <c r="F326" s="1" t="str">
        <f>"Joey"</f>
        <v>Joey</v>
      </c>
      <c r="G326" s="1" t="str">
        <f>"Cote"</f>
        <v>Cote</v>
      </c>
      <c r="H326" s="1" t="str">
        <f>"0219250"</f>
        <v>0219250</v>
      </c>
      <c r="I326" s="1" t="str">
        <f t="shared" si="28"/>
        <v>M</v>
      </c>
      <c r="J326" s="2">
        <v>2006</v>
      </c>
      <c r="K326" s="1" t="str">
        <f>"3k"</f>
        <v>3k</v>
      </c>
      <c r="L326" s="1" t="str">
        <f t="shared" si="33"/>
        <v>U14</v>
      </c>
      <c r="M326" s="1" t="str">
        <f t="shared" ref="M326:M332" si="34">"-31"</f>
        <v>-31</v>
      </c>
      <c r="N326" s="1" t="str">
        <f>""</f>
        <v/>
      </c>
      <c r="O326" s="1">
        <v>1</v>
      </c>
      <c r="P326" s="1"/>
      <c r="Q326" t="s">
        <v>250</v>
      </c>
    </row>
    <row r="327" spans="1:17" x14ac:dyDescent="0.25">
      <c r="A327" t="str">
        <f>"2018-10-21 18:31:31"</f>
        <v>2018-10-21 18:31:31</v>
      </c>
      <c r="B327" s="1" t="str">
        <f>""</f>
        <v/>
      </c>
      <c r="C327" s="1" t="str">
        <f>"Académie de Judo de Sept-Iles Inc."</f>
        <v>Académie de Judo de Sept-Iles Inc.</v>
      </c>
      <c r="D327" s="1" t="str">
        <f>"QC"</f>
        <v>QC</v>
      </c>
      <c r="E327" s="1" t="str">
        <f>"Quebec"</f>
        <v>Quebec</v>
      </c>
      <c r="F327" s="1" t="str">
        <f>"Noah"</f>
        <v>Noah</v>
      </c>
      <c r="G327" s="1" t="str">
        <f>"Drolet"</f>
        <v>Drolet</v>
      </c>
      <c r="H327" s="1" t="str">
        <f>"0162629"</f>
        <v>0162629</v>
      </c>
      <c r="I327" s="1" t="str">
        <f t="shared" si="28"/>
        <v>M</v>
      </c>
      <c r="J327" s="2">
        <v>2007</v>
      </c>
      <c r="K327" s="1" t="str">
        <f>"2k"</f>
        <v>2k</v>
      </c>
      <c r="L327" s="1" t="str">
        <f t="shared" si="33"/>
        <v>U14</v>
      </c>
      <c r="M327" s="1" t="str">
        <f t="shared" si="34"/>
        <v>-31</v>
      </c>
      <c r="N327" s="1" t="str">
        <f>""</f>
        <v/>
      </c>
      <c r="O327" s="1">
        <v>1</v>
      </c>
      <c r="P327" s="1"/>
      <c r="Q327" t="s">
        <v>250</v>
      </c>
    </row>
    <row r="328" spans="1:17" x14ac:dyDescent="0.25">
      <c r="A328" t="str">
        <f>"2018-10-12 23:18:35"</f>
        <v>2018-10-12 23:18:35</v>
      </c>
      <c r="B328" s="1" t="str">
        <f>""</f>
        <v/>
      </c>
      <c r="C328" s="1" t="str">
        <f>"Judo Otoshi Dieppe"</f>
        <v>Judo Otoshi Dieppe</v>
      </c>
      <c r="D328" s="1" t="str">
        <f>"NB"</f>
        <v>NB</v>
      </c>
      <c r="E328" s="1" t="str">
        <f>"New Brunswick"</f>
        <v>New Brunswick</v>
      </c>
      <c r="F328" s="1" t="str">
        <f>"Jacob"</f>
        <v>Jacob</v>
      </c>
      <c r="G328" s="1" t="str">
        <f>"Element"</f>
        <v>Element</v>
      </c>
      <c r="H328" s="1" t="str">
        <f>"0208182"</f>
        <v>0208182</v>
      </c>
      <c r="I328" s="1" t="str">
        <f t="shared" si="28"/>
        <v>M</v>
      </c>
      <c r="J328" s="2">
        <v>2007</v>
      </c>
      <c r="K328" s="1" t="str">
        <f>"3k"</f>
        <v>3k</v>
      </c>
      <c r="L328" s="1" t="str">
        <f t="shared" si="33"/>
        <v>U14</v>
      </c>
      <c r="M328" s="1" t="str">
        <f t="shared" si="34"/>
        <v>-31</v>
      </c>
      <c r="N328" s="1" t="str">
        <f>""</f>
        <v/>
      </c>
      <c r="O328" s="1">
        <v>1</v>
      </c>
      <c r="P328" s="1"/>
      <c r="Q328" t="s">
        <v>250</v>
      </c>
    </row>
    <row r="329" spans="1:17" x14ac:dyDescent="0.25">
      <c r="B329" s="1" t="str">
        <f>""</f>
        <v/>
      </c>
      <c r="C329" s="1" t="str">
        <f>"Club de Judo Boucherville inc."</f>
        <v>Club de Judo Boucherville inc.</v>
      </c>
      <c r="D329" s="1" t="str">
        <f>"QC"</f>
        <v>QC</v>
      </c>
      <c r="E329" s="1" t="str">
        <f>"Quebec"</f>
        <v>Quebec</v>
      </c>
      <c r="F329" s="1" t="str">
        <f>"Tristan"</f>
        <v>Tristan</v>
      </c>
      <c r="G329" s="1" t="str">
        <f>"Lapointe"</f>
        <v>Lapointe</v>
      </c>
      <c r="H329" s="1" t="str">
        <f>"0205735"</f>
        <v>0205735</v>
      </c>
      <c r="I329" s="1" t="str">
        <f t="shared" si="28"/>
        <v>M</v>
      </c>
      <c r="J329" s="1">
        <v>2007</v>
      </c>
      <c r="K329" s="1" t="s">
        <v>73</v>
      </c>
      <c r="L329" s="1" t="str">
        <f t="shared" si="33"/>
        <v>U14</v>
      </c>
      <c r="M329" s="1" t="str">
        <f t="shared" si="34"/>
        <v>-31</v>
      </c>
      <c r="N329" s="1" t="str">
        <f>""</f>
        <v/>
      </c>
      <c r="O329" s="1"/>
      <c r="P329" s="1"/>
      <c r="Q329" t="s">
        <v>250</v>
      </c>
    </row>
    <row r="330" spans="1:17" x14ac:dyDescent="0.25">
      <c r="A330" t="str">
        <f>"2018-10-19 13:43:18"</f>
        <v>2018-10-19 13:43:18</v>
      </c>
      <c r="B330" s="1" t="str">
        <f>""</f>
        <v/>
      </c>
      <c r="C330" s="1" t="str">
        <f>"Judo Blainville"</f>
        <v>Judo Blainville</v>
      </c>
      <c r="D330" s="1" t="str">
        <f>"QC"</f>
        <v>QC</v>
      </c>
      <c r="E330" s="1" t="str">
        <f>"Quebec"</f>
        <v>Quebec</v>
      </c>
      <c r="F330" s="1" t="str">
        <f>"Olivier"</f>
        <v>Olivier</v>
      </c>
      <c r="G330" s="1" t="str">
        <f>"Maurice"</f>
        <v>Maurice</v>
      </c>
      <c r="H330" s="1" t="str">
        <f>"0183307"</f>
        <v>0183307</v>
      </c>
      <c r="I330" s="1" t="str">
        <f t="shared" si="28"/>
        <v>M</v>
      </c>
      <c r="J330" s="2">
        <v>2006</v>
      </c>
      <c r="K330" s="1" t="str">
        <f>"3k+"</f>
        <v>3k+</v>
      </c>
      <c r="L330" s="1" t="str">
        <f t="shared" si="33"/>
        <v>U14</v>
      </c>
      <c r="M330" s="1" t="str">
        <f t="shared" si="34"/>
        <v>-31</v>
      </c>
      <c r="N330" s="1" t="str">
        <f>""</f>
        <v/>
      </c>
      <c r="O330" s="1">
        <v>1</v>
      </c>
      <c r="P330" s="1"/>
      <c r="Q330" t="s">
        <v>250</v>
      </c>
    </row>
    <row r="331" spans="1:17" x14ac:dyDescent="0.25">
      <c r="A331" t="str">
        <f>"2018-10-12 12:41:40"</f>
        <v>2018-10-12 12:41:40</v>
      </c>
      <c r="B331" s="1" t="str">
        <f>""</f>
        <v/>
      </c>
      <c r="C331" s="1" t="str">
        <f>"Tani Koi Judo Club"</f>
        <v>Tani Koi Judo Club</v>
      </c>
      <c r="D331" s="1" t="str">
        <f>"NB"</f>
        <v>NB</v>
      </c>
      <c r="E331" s="1" t="str">
        <f>"New Brunswick"</f>
        <v>New Brunswick</v>
      </c>
      <c r="F331" s="1" t="str">
        <f>"Marcos"</f>
        <v>Marcos</v>
      </c>
      <c r="G331" s="1" t="str">
        <f>"McLean"</f>
        <v>McLean</v>
      </c>
      <c r="H331" s="1" t="str">
        <f>"0201117"</f>
        <v>0201117</v>
      </c>
      <c r="I331" s="1" t="str">
        <f t="shared" si="28"/>
        <v>M</v>
      </c>
      <c r="J331" s="2">
        <v>2007</v>
      </c>
      <c r="K331" s="1" t="str">
        <f>"3k"</f>
        <v>3k</v>
      </c>
      <c r="L331" s="1" t="str">
        <f t="shared" si="33"/>
        <v>U14</v>
      </c>
      <c r="M331" s="1" t="str">
        <f t="shared" si="34"/>
        <v>-31</v>
      </c>
      <c r="N331" s="1" t="str">
        <f>""</f>
        <v/>
      </c>
      <c r="O331" s="1">
        <v>1</v>
      </c>
      <c r="P331" s="1"/>
      <c r="Q331" t="s">
        <v>250</v>
      </c>
    </row>
    <row r="332" spans="1:17" x14ac:dyDescent="0.25">
      <c r="A332" t="str">
        <f>"2018-10-12 21:25:28"</f>
        <v>2018-10-12 21:25:28</v>
      </c>
      <c r="B332" s="1" t="str">
        <f>""</f>
        <v/>
      </c>
      <c r="C332" s="1" t="str">
        <f>"Jccc - Judo Kai"</f>
        <v>Jccc - Judo Kai</v>
      </c>
      <c r="D332" s="1" t="str">
        <f>"ON"</f>
        <v>ON</v>
      </c>
      <c r="E332" s="1" t="str">
        <f>"Ontario"</f>
        <v>Ontario</v>
      </c>
      <c r="F332" s="1" t="str">
        <f>"Matthew"</f>
        <v>Matthew</v>
      </c>
      <c r="G332" s="1" t="str">
        <f>"Schesnuik"</f>
        <v>Schesnuik</v>
      </c>
      <c r="H332" s="1" t="str">
        <f>"0218898"</f>
        <v>0218898</v>
      </c>
      <c r="I332" s="1" t="str">
        <f t="shared" si="28"/>
        <v>M</v>
      </c>
      <c r="J332" s="2">
        <v>2007</v>
      </c>
      <c r="K332" s="1" t="str">
        <f>"2k"</f>
        <v>2k</v>
      </c>
      <c r="L332" s="1" t="str">
        <f t="shared" si="33"/>
        <v>U14</v>
      </c>
      <c r="M332" s="1" t="str">
        <f t="shared" si="34"/>
        <v>-31</v>
      </c>
      <c r="N332" s="1" t="str">
        <f>""</f>
        <v/>
      </c>
      <c r="O332" s="1">
        <v>1</v>
      </c>
      <c r="P332" s="1"/>
      <c r="Q332" t="s">
        <v>250</v>
      </c>
    </row>
    <row r="333" spans="1:17" x14ac:dyDescent="0.25">
      <c r="A333" t="str">
        <f>"2018-10-13 21:01:04"</f>
        <v>2018-10-13 21:01:04</v>
      </c>
      <c r="B333" s="1" t="str">
        <f>""</f>
        <v/>
      </c>
      <c r="C333" s="4" t="str">
        <f>"Club de Judo Haut-Richelieu"</f>
        <v>Club de Judo Haut-Richelieu</v>
      </c>
      <c r="D333" s="4" t="str">
        <f>"QC"</f>
        <v>QC</v>
      </c>
      <c r="E333" s="4" t="str">
        <f>"Quebec"</f>
        <v>Quebec</v>
      </c>
      <c r="F333" s="4" t="str">
        <f>"Malie"</f>
        <v>Malie</v>
      </c>
      <c r="G333" s="4" t="str">
        <f>"Charbonneau"</f>
        <v>Charbonneau</v>
      </c>
      <c r="H333" s="4" t="str">
        <f>"0188691"</f>
        <v>0188691</v>
      </c>
      <c r="I333" s="4" t="str">
        <f>"F"</f>
        <v>F</v>
      </c>
      <c r="J333" s="5">
        <v>2007</v>
      </c>
      <c r="K333" s="4" t="str">
        <f>"3k"</f>
        <v>3k</v>
      </c>
      <c r="L333" s="4" t="str">
        <f t="shared" si="33"/>
        <v>U14</v>
      </c>
      <c r="M333" s="4" t="str">
        <f>"-32"</f>
        <v>-32</v>
      </c>
      <c r="N333" s="4" t="str">
        <f>""</f>
        <v/>
      </c>
      <c r="O333" s="4">
        <v>1</v>
      </c>
      <c r="P333" s="4" t="s">
        <v>103</v>
      </c>
      <c r="Q333" s="6" t="s">
        <v>104</v>
      </c>
    </row>
    <row r="334" spans="1:17" x14ac:dyDescent="0.25">
      <c r="A334" t="str">
        <f>"2018-10-18 22:38:19"</f>
        <v>2018-10-18 22:38:19</v>
      </c>
      <c r="B334" s="1" t="str">
        <f>""</f>
        <v/>
      </c>
      <c r="C334" s="1" t="str">
        <f>"Club judokas Jonquière inc."</f>
        <v>Club judokas Jonquière inc.</v>
      </c>
      <c r="D334" s="1" t="str">
        <f>"QC"</f>
        <v>QC</v>
      </c>
      <c r="E334" s="1" t="str">
        <f>"Quebec"</f>
        <v>Quebec</v>
      </c>
      <c r="F334" s="1" t="str">
        <f>"Éliandre"</f>
        <v>Éliandre</v>
      </c>
      <c r="G334" s="1" t="str">
        <f>"Barriault-Tremblay"</f>
        <v>Barriault-Tremblay</v>
      </c>
      <c r="H334" s="1" t="str">
        <f>"0184222"</f>
        <v>0184222</v>
      </c>
      <c r="I334" s="1" t="str">
        <f t="shared" ref="I334:I339" si="35">"M"</f>
        <v>M</v>
      </c>
      <c r="J334" s="2">
        <v>2006</v>
      </c>
      <c r="K334" s="1" t="str">
        <f>"2k"</f>
        <v>2k</v>
      </c>
      <c r="L334" s="1" t="str">
        <f t="shared" si="33"/>
        <v>U14</v>
      </c>
      <c r="M334" s="1" t="str">
        <f t="shared" ref="M334:M339" si="36">"-34"</f>
        <v>-34</v>
      </c>
      <c r="N334" s="1" t="str">
        <f>""</f>
        <v/>
      </c>
      <c r="O334" s="1">
        <v>1</v>
      </c>
      <c r="P334" s="1"/>
      <c r="Q334" t="s">
        <v>251</v>
      </c>
    </row>
    <row r="335" spans="1:17" x14ac:dyDescent="0.25">
      <c r="A335" t="str">
        <f>"2018-10-19 12:08:20"</f>
        <v>2018-10-19 12:08:20</v>
      </c>
      <c r="B335" s="1" t="str">
        <f>""</f>
        <v/>
      </c>
      <c r="C335" s="1" t="str">
        <f>"Club de Judo centre Multisports"</f>
        <v>Club de Judo centre Multisports</v>
      </c>
      <c r="D335" s="1" t="str">
        <f>"QC"</f>
        <v>QC</v>
      </c>
      <c r="E335" s="1" t="str">
        <f>"Quebec"</f>
        <v>Quebec</v>
      </c>
      <c r="F335" s="1" t="str">
        <f>"Ulysse"</f>
        <v>Ulysse</v>
      </c>
      <c r="G335" s="1" t="str">
        <f>"Boyer"</f>
        <v>Boyer</v>
      </c>
      <c r="H335" s="1" t="str">
        <f>"0184794"</f>
        <v>0184794</v>
      </c>
      <c r="I335" s="1" t="str">
        <f t="shared" si="35"/>
        <v>M</v>
      </c>
      <c r="J335" s="2">
        <v>2006</v>
      </c>
      <c r="K335" s="1" t="str">
        <f>"2k"</f>
        <v>2k</v>
      </c>
      <c r="L335" s="1" t="str">
        <f t="shared" si="33"/>
        <v>U14</v>
      </c>
      <c r="M335" s="1" t="str">
        <f t="shared" si="36"/>
        <v>-34</v>
      </c>
      <c r="N335" s="1" t="str">
        <f>""</f>
        <v/>
      </c>
      <c r="O335" s="1">
        <v>1</v>
      </c>
      <c r="P335" s="1"/>
      <c r="Q335" t="s">
        <v>251</v>
      </c>
    </row>
    <row r="336" spans="1:17" x14ac:dyDescent="0.25">
      <c r="B336" s="1" t="str">
        <f>""</f>
        <v/>
      </c>
      <c r="C336" s="1" t="str">
        <f>"Olympic Judo Centre"</f>
        <v>Olympic Judo Centre</v>
      </c>
      <c r="D336" s="1" t="s">
        <v>27</v>
      </c>
      <c r="E336" s="1" t="str">
        <f>"Yukon"</f>
        <v>Yukon</v>
      </c>
      <c r="F336" s="1" t="str">
        <f>"Luka"</f>
        <v>Luka</v>
      </c>
      <c r="G336" s="1" t="str">
        <f>"Kurashvili"</f>
        <v>Kurashvili</v>
      </c>
      <c r="H336" s="1" t="str">
        <f>"0231073"</f>
        <v>0231073</v>
      </c>
      <c r="I336" s="1" t="str">
        <f t="shared" si="35"/>
        <v>M</v>
      </c>
      <c r="J336" s="1">
        <v>2007</v>
      </c>
      <c r="K336" s="1" t="s">
        <v>73</v>
      </c>
      <c r="L336" s="1" t="str">
        <f t="shared" si="33"/>
        <v>U14</v>
      </c>
      <c r="M336" s="1" t="str">
        <f t="shared" si="36"/>
        <v>-34</v>
      </c>
      <c r="N336" s="1" t="str">
        <f>""</f>
        <v/>
      </c>
      <c r="O336" s="1"/>
      <c r="P336" s="1"/>
      <c r="Q336" t="s">
        <v>251</v>
      </c>
    </row>
    <row r="337" spans="1:17" x14ac:dyDescent="0.25">
      <c r="A337" t="str">
        <f>"2018-10-02 18:37:29"</f>
        <v>2018-10-02 18:37:29</v>
      </c>
      <c r="B337" s="1" t="str">
        <f>""</f>
        <v/>
      </c>
      <c r="C337" s="1" t="str">
        <f>"Club de judo Torakai"</f>
        <v>Club de judo Torakai</v>
      </c>
      <c r="D337" s="1" t="str">
        <f>"QC"</f>
        <v>QC</v>
      </c>
      <c r="E337" s="1" t="str">
        <f>"Quebec"</f>
        <v>Quebec</v>
      </c>
      <c r="F337" s="1" t="str">
        <f>"Alexandre"</f>
        <v>Alexandre</v>
      </c>
      <c r="G337" s="1" t="str">
        <f>"Langevin"</f>
        <v>Langevin</v>
      </c>
      <c r="H337" s="1" t="str">
        <f>"0217791"</f>
        <v>0217791</v>
      </c>
      <c r="I337" s="1" t="str">
        <f t="shared" si="35"/>
        <v>M</v>
      </c>
      <c r="J337" s="2">
        <v>2007</v>
      </c>
      <c r="K337" s="1" t="str">
        <f>"3k"</f>
        <v>3k</v>
      </c>
      <c r="L337" s="1" t="str">
        <f t="shared" si="33"/>
        <v>U14</v>
      </c>
      <c r="M337" s="1" t="str">
        <f t="shared" si="36"/>
        <v>-34</v>
      </c>
      <c r="N337" s="1" t="str">
        <f>""</f>
        <v/>
      </c>
      <c r="O337" s="1">
        <v>1</v>
      </c>
      <c r="P337" s="1"/>
      <c r="Q337" t="s">
        <v>251</v>
      </c>
    </row>
    <row r="338" spans="1:17" x14ac:dyDescent="0.25">
      <c r="A338" t="str">
        <f>"2018-10-22 00:29:31"</f>
        <v>2018-10-22 00:29:31</v>
      </c>
      <c r="B338" s="1" t="str">
        <f>""</f>
        <v/>
      </c>
      <c r="C338" s="1" t="str">
        <f>"Taifu Judo Club"</f>
        <v>Taifu Judo Club</v>
      </c>
      <c r="D338" s="1" t="str">
        <f>"ON"</f>
        <v>ON</v>
      </c>
      <c r="E338" s="1" t="str">
        <f>"Ontario"</f>
        <v>Ontario</v>
      </c>
      <c r="F338" s="1" t="str">
        <f>"Michael"</f>
        <v>Michael</v>
      </c>
      <c r="G338" s="1" t="str">
        <f>"Mulokandov"</f>
        <v>Mulokandov</v>
      </c>
      <c r="H338" s="1" t="str">
        <f>"AutreFederation"</f>
        <v>AutreFederation</v>
      </c>
      <c r="I338" s="1" t="str">
        <f t="shared" si="35"/>
        <v>M</v>
      </c>
      <c r="J338" s="2">
        <v>2006</v>
      </c>
      <c r="K338" s="1" t="str">
        <f>"3k"</f>
        <v>3k</v>
      </c>
      <c r="L338" s="1" t="str">
        <f t="shared" si="33"/>
        <v>U14</v>
      </c>
      <c r="M338" s="1" t="str">
        <f t="shared" si="36"/>
        <v>-34</v>
      </c>
      <c r="N338" s="1" t="str">
        <f>""</f>
        <v/>
      </c>
      <c r="O338" s="1">
        <v>1</v>
      </c>
      <c r="P338" s="1"/>
      <c r="Q338" t="s">
        <v>251</v>
      </c>
    </row>
    <row r="339" spans="1:17" x14ac:dyDescent="0.25">
      <c r="A339" t="str">
        <f>"2018-10-19 22:29:07"</f>
        <v>2018-10-19 22:29:07</v>
      </c>
      <c r="B339" s="1" t="str">
        <f>""</f>
        <v/>
      </c>
      <c r="C339" s="1" t="str">
        <f>"Taifu Judo Club"</f>
        <v>Taifu Judo Club</v>
      </c>
      <c r="D339" s="1" t="str">
        <f>"ON"</f>
        <v>ON</v>
      </c>
      <c r="E339" s="1" t="str">
        <f>"Ontario"</f>
        <v>Ontario</v>
      </c>
      <c r="F339" s="1" t="str">
        <f>"Luka"</f>
        <v>Luka</v>
      </c>
      <c r="G339" s="1" t="str">
        <f>"Tsatsalashvili"</f>
        <v>Tsatsalashvili</v>
      </c>
      <c r="H339" s="1" t="str">
        <f>"0192350"</f>
        <v>0192350</v>
      </c>
      <c r="I339" s="1" t="str">
        <f t="shared" si="35"/>
        <v>M</v>
      </c>
      <c r="J339" s="2">
        <v>2006</v>
      </c>
      <c r="K339" s="1" t="str">
        <f>"3k"</f>
        <v>3k</v>
      </c>
      <c r="L339" s="1" t="str">
        <f t="shared" si="33"/>
        <v>U14</v>
      </c>
      <c r="M339" s="1" t="str">
        <f t="shared" si="36"/>
        <v>-34</v>
      </c>
      <c r="N339" s="1" t="str">
        <f>""</f>
        <v/>
      </c>
      <c r="O339" s="1">
        <v>1</v>
      </c>
      <c r="P339" s="1"/>
      <c r="Q339" t="s">
        <v>251</v>
      </c>
    </row>
    <row r="340" spans="1:17" x14ac:dyDescent="0.25">
      <c r="A340" t="str">
        <f>"2018-10-18 22:10:43"</f>
        <v>2018-10-18 22:10:43</v>
      </c>
      <c r="B340" s="1" t="str">
        <f>""</f>
        <v/>
      </c>
      <c r="C340" s="1" t="str">
        <f>"Académie de Judo de Sept-Iles Inc."</f>
        <v>Académie de Judo de Sept-Iles Inc.</v>
      </c>
      <c r="D340" s="1" t="str">
        <f>"QC"</f>
        <v>QC</v>
      </c>
      <c r="E340" s="1" t="str">
        <f>"Quebec"</f>
        <v>Quebec</v>
      </c>
      <c r="F340" s="1" t="str">
        <f>"Sara-Anne"</f>
        <v>Sara-Anne</v>
      </c>
      <c r="G340" s="1" t="str">
        <f>"Beaudin"</f>
        <v>Beaudin</v>
      </c>
      <c r="H340" s="1" t="str">
        <f>"0174376"</f>
        <v>0174376</v>
      </c>
      <c r="I340" s="1" t="str">
        <f>"F"</f>
        <v>F</v>
      </c>
      <c r="J340" s="2">
        <v>2007</v>
      </c>
      <c r="K340" s="1" t="str">
        <f>"2k"</f>
        <v>2k</v>
      </c>
      <c r="L340" s="1" t="str">
        <f t="shared" si="33"/>
        <v>U14</v>
      </c>
      <c r="M340" s="1" t="str">
        <f>"-36"</f>
        <v>-36</v>
      </c>
      <c r="N340" s="1" t="str">
        <f>""</f>
        <v/>
      </c>
      <c r="O340" s="1">
        <v>1</v>
      </c>
      <c r="P340" s="1"/>
      <c r="Q340" t="s">
        <v>252</v>
      </c>
    </row>
    <row r="341" spans="1:17" x14ac:dyDescent="0.25">
      <c r="A341" t="str">
        <f>"2018-10-14 12:57:01"</f>
        <v>2018-10-14 12:57:01</v>
      </c>
      <c r="B341" s="1" t="str">
        <f>""</f>
        <v/>
      </c>
      <c r="C341" s="1" t="str">
        <f>"Club de judo Albatros Inc."</f>
        <v>Club de judo Albatros Inc.</v>
      </c>
      <c r="D341" s="1" t="str">
        <f>"QC"</f>
        <v>QC</v>
      </c>
      <c r="E341" s="1" t="str">
        <f>"Quebec"</f>
        <v>Quebec</v>
      </c>
      <c r="F341" s="1" t="str">
        <f>"Catherine"</f>
        <v>Catherine</v>
      </c>
      <c r="G341" s="1" t="str">
        <f>"Gauthier"</f>
        <v>Gauthier</v>
      </c>
      <c r="H341" s="1" t="str">
        <f>"0189836"</f>
        <v>0189836</v>
      </c>
      <c r="I341" s="1" t="str">
        <f>"F"</f>
        <v>F</v>
      </c>
      <c r="J341" s="2">
        <v>2006</v>
      </c>
      <c r="K341" s="1" t="str">
        <f>"3k"</f>
        <v>3k</v>
      </c>
      <c r="L341" s="1" t="str">
        <f t="shared" si="33"/>
        <v>U14</v>
      </c>
      <c r="M341" s="1" t="str">
        <f>"-36"</f>
        <v>-36</v>
      </c>
      <c r="N341" s="1" t="str">
        <f>""</f>
        <v/>
      </c>
      <c r="O341" s="1">
        <v>1</v>
      </c>
      <c r="P341" s="1"/>
      <c r="Q341" t="s">
        <v>252</v>
      </c>
    </row>
    <row r="342" spans="1:17" x14ac:dyDescent="0.25">
      <c r="A342" t="str">
        <f>"2018-10-18 22:10:43"</f>
        <v>2018-10-18 22:10:43</v>
      </c>
      <c r="B342" s="1" t="str">
        <f>""</f>
        <v/>
      </c>
      <c r="C342" s="1" t="str">
        <f>"Tani Koi Judo Club"</f>
        <v>Tani Koi Judo Club</v>
      </c>
      <c r="D342" s="1" t="str">
        <f>"NB"</f>
        <v>NB</v>
      </c>
      <c r="E342" s="1" t="str">
        <f>"New Brunswick"</f>
        <v>New Brunswick</v>
      </c>
      <c r="F342" s="1" t="str">
        <f>"Ava"</f>
        <v>Ava</v>
      </c>
      <c r="G342" s="1" t="str">
        <f>"Hutchison"</f>
        <v>Hutchison</v>
      </c>
      <c r="H342" s="1" t="str">
        <f>"0197795"</f>
        <v>0197795</v>
      </c>
      <c r="I342" s="1" t="str">
        <f>"F"</f>
        <v>F</v>
      </c>
      <c r="J342" s="2">
        <v>2007</v>
      </c>
      <c r="K342" s="1" t="str">
        <f>"3k"</f>
        <v>3k</v>
      </c>
      <c r="L342" s="1" t="str">
        <f t="shared" si="33"/>
        <v>U14</v>
      </c>
      <c r="M342" s="1" t="str">
        <f>"-36"</f>
        <v>-36</v>
      </c>
      <c r="N342" s="1" t="str">
        <f>""</f>
        <v/>
      </c>
      <c r="O342" s="1">
        <v>1</v>
      </c>
      <c r="P342" s="1"/>
      <c r="Q342" t="s">
        <v>252</v>
      </c>
    </row>
    <row r="343" spans="1:17" x14ac:dyDescent="0.25">
      <c r="A343" t="str">
        <f>"2018-10-15 19:01:25"</f>
        <v>2018-10-15 19:01:25</v>
      </c>
      <c r="B343" s="1" t="str">
        <f>""</f>
        <v/>
      </c>
      <c r="C343" s="1" t="str">
        <f>"Judo Blainville"</f>
        <v>Judo Blainville</v>
      </c>
      <c r="D343" s="1" t="str">
        <f>"QC"</f>
        <v>QC</v>
      </c>
      <c r="E343" s="1" t="str">
        <f>"Quebec"</f>
        <v>Quebec</v>
      </c>
      <c r="F343" s="1" t="str">
        <f>"Léa"</f>
        <v>Léa</v>
      </c>
      <c r="G343" s="1" t="str">
        <f>"Lanouette"</f>
        <v>Lanouette</v>
      </c>
      <c r="H343" s="1" t="str">
        <f>"0217071"</f>
        <v>0217071</v>
      </c>
      <c r="I343" s="1" t="str">
        <f>"F"</f>
        <v>F</v>
      </c>
      <c r="J343" s="2">
        <v>2007</v>
      </c>
      <c r="K343" s="1" t="str">
        <f>"3k"</f>
        <v>3k</v>
      </c>
      <c r="L343" s="1" t="str">
        <f t="shared" si="33"/>
        <v>U14</v>
      </c>
      <c r="M343" s="1" t="str">
        <f>"-36"</f>
        <v>-36</v>
      </c>
      <c r="N343" s="1" t="str">
        <f>""</f>
        <v/>
      </c>
      <c r="O343" s="1">
        <v>1</v>
      </c>
      <c r="P343" s="1"/>
      <c r="Q343" t="s">
        <v>252</v>
      </c>
    </row>
    <row r="344" spans="1:17" x14ac:dyDescent="0.25">
      <c r="B344" s="1" t="str">
        <f>""</f>
        <v/>
      </c>
      <c r="C344" s="1" t="str">
        <f>"Club de judo Vallée du Richelieu"</f>
        <v>Club de judo Vallée du Richelieu</v>
      </c>
      <c r="D344" s="1" t="str">
        <f>"QC"</f>
        <v>QC</v>
      </c>
      <c r="E344" s="1" t="str">
        <f>"Quebec"</f>
        <v>Quebec</v>
      </c>
      <c r="F344" s="1" t="str">
        <f>"Antoine"</f>
        <v>Antoine</v>
      </c>
      <c r="G344" s="1" t="str">
        <f>"Blouin"</f>
        <v>Blouin</v>
      </c>
      <c r="H344" s="1" t="str">
        <f>"0189847"</f>
        <v>0189847</v>
      </c>
      <c r="I344" s="1" t="str">
        <f t="shared" ref="I344:I362" si="37">"M"</f>
        <v>M</v>
      </c>
      <c r="J344" s="1">
        <v>2006</v>
      </c>
      <c r="K344" s="1" t="s">
        <v>80</v>
      </c>
      <c r="L344" s="1" t="str">
        <f t="shared" si="33"/>
        <v>U14</v>
      </c>
      <c r="M344" s="1" t="str">
        <f t="shared" ref="M344:M358" si="38">"-38"</f>
        <v>-38</v>
      </c>
      <c r="N344" s="1"/>
      <c r="O344" s="1">
        <v>1</v>
      </c>
      <c r="P344" s="1"/>
      <c r="Q344" t="s">
        <v>253</v>
      </c>
    </row>
    <row r="345" spans="1:17" x14ac:dyDescent="0.25">
      <c r="A345" t="str">
        <f>"2018-10-20 20:51:02"</f>
        <v>2018-10-20 20:51:02</v>
      </c>
      <c r="B345" s="1" t="str">
        <f>"2018-10-10 10:22:52"</f>
        <v>2018-10-10 10:22:52</v>
      </c>
      <c r="C345" s="1" t="str">
        <f>"Bushido"</f>
        <v>Bushido</v>
      </c>
      <c r="D345" s="1" t="str">
        <f>"NB"</f>
        <v>NB</v>
      </c>
      <c r="E345" s="1" t="str">
        <f>"New Brunswick"</f>
        <v>New Brunswick</v>
      </c>
      <c r="F345" s="1" t="str">
        <f>"Joshua"</f>
        <v>Joshua</v>
      </c>
      <c r="G345" s="1" t="str">
        <f>"Boucher"</f>
        <v>Boucher</v>
      </c>
      <c r="H345" s="1" t="str">
        <f>"0197683"</f>
        <v>0197683</v>
      </c>
      <c r="I345" s="1" t="str">
        <f t="shared" si="37"/>
        <v>M</v>
      </c>
      <c r="J345" s="2">
        <v>2007</v>
      </c>
      <c r="K345" s="1" t="str">
        <f>"3k"</f>
        <v>3k</v>
      </c>
      <c r="L345" s="1" t="str">
        <f t="shared" si="33"/>
        <v>U14</v>
      </c>
      <c r="M345" s="1" t="str">
        <f t="shared" si="38"/>
        <v>-38</v>
      </c>
      <c r="N345" s="1" t="str">
        <f>""</f>
        <v/>
      </c>
      <c r="O345" s="1">
        <v>1</v>
      </c>
      <c r="P345" s="1"/>
      <c r="Q345" t="s">
        <v>253</v>
      </c>
    </row>
    <row r="346" spans="1:17" x14ac:dyDescent="0.25">
      <c r="A346" t="str">
        <f>"2018-10-13 11:38:14"</f>
        <v>2018-10-13 11:38:14</v>
      </c>
      <c r="B346" s="1" t="str">
        <f>""</f>
        <v/>
      </c>
      <c r="C346" s="1" t="str">
        <f>"Club de judo Métropolitain inc."</f>
        <v>Club de judo Métropolitain inc.</v>
      </c>
      <c r="D346" s="1" t="str">
        <f>"QC"</f>
        <v>QC</v>
      </c>
      <c r="E346" s="1" t="str">
        <f>"Quebec"</f>
        <v>Quebec</v>
      </c>
      <c r="F346" s="1" t="str">
        <f>"Iliass"</f>
        <v>Iliass</v>
      </c>
      <c r="G346" s="1" t="str">
        <f>"Chennoufi"</f>
        <v>Chennoufi</v>
      </c>
      <c r="H346" s="1" t="str">
        <f>"0199931"</f>
        <v>0199931</v>
      </c>
      <c r="I346" s="1" t="str">
        <f t="shared" si="37"/>
        <v>M</v>
      </c>
      <c r="J346" s="2">
        <v>2007</v>
      </c>
      <c r="K346" s="1" t="str">
        <f>"3k"</f>
        <v>3k</v>
      </c>
      <c r="L346" s="1" t="str">
        <f t="shared" si="33"/>
        <v>U14</v>
      </c>
      <c r="M346" s="1" t="str">
        <f t="shared" si="38"/>
        <v>-38</v>
      </c>
      <c r="N346" s="1" t="str">
        <f>""</f>
        <v/>
      </c>
      <c r="O346" s="1">
        <v>1</v>
      </c>
      <c r="P346" s="1"/>
      <c r="Q346" t="s">
        <v>253</v>
      </c>
    </row>
    <row r="347" spans="1:17" x14ac:dyDescent="0.25">
      <c r="A347" t="str">
        <f>"2018-10-18 18:00:24"</f>
        <v>2018-10-18 18:00:24</v>
      </c>
      <c r="B347" s="1" t="str">
        <f>""</f>
        <v/>
      </c>
      <c r="C347" s="1" t="str">
        <f>"Académie de Judo de Sept-Iles Inc."</f>
        <v>Académie de Judo de Sept-Iles Inc.</v>
      </c>
      <c r="D347" s="1" t="str">
        <f>"QC"</f>
        <v>QC</v>
      </c>
      <c r="E347" s="1" t="str">
        <f>"Quebec"</f>
        <v>Quebec</v>
      </c>
      <c r="F347" s="1" t="str">
        <f>"Edouard"</f>
        <v>Edouard</v>
      </c>
      <c r="G347" s="1" t="str">
        <f>"Cotte"</f>
        <v>Cotte</v>
      </c>
      <c r="H347" s="1" t="str">
        <f>"0182516"</f>
        <v>0182516</v>
      </c>
      <c r="I347" s="1" t="str">
        <f t="shared" si="37"/>
        <v>M</v>
      </c>
      <c r="J347" s="2">
        <v>2006</v>
      </c>
      <c r="K347" s="1" t="str">
        <f>"2k"</f>
        <v>2k</v>
      </c>
      <c r="L347" s="1" t="str">
        <f t="shared" si="33"/>
        <v>U14</v>
      </c>
      <c r="M347" s="1" t="str">
        <f t="shared" si="38"/>
        <v>-38</v>
      </c>
      <c r="N347" s="1" t="str">
        <f>""</f>
        <v/>
      </c>
      <c r="O347" s="1">
        <v>1</v>
      </c>
      <c r="P347" s="1"/>
      <c r="Q347" t="s">
        <v>253</v>
      </c>
    </row>
    <row r="348" spans="1:17" x14ac:dyDescent="0.25">
      <c r="A348" t="str">
        <f>"2018-10-11 09:32:38"</f>
        <v>2018-10-11 09:32:38</v>
      </c>
      <c r="B348" s="1" t="str">
        <f>""</f>
        <v/>
      </c>
      <c r="C348" s="1" t="str">
        <f>"Académie de Judo de Sept-Iles Inc."</f>
        <v>Académie de Judo de Sept-Iles Inc.</v>
      </c>
      <c r="D348" s="1" t="str">
        <f>"QC"</f>
        <v>QC</v>
      </c>
      <c r="E348" s="1" t="str">
        <f>"Quebec"</f>
        <v>Quebec</v>
      </c>
      <c r="F348" s="1" t="str">
        <f>"Raphaël"</f>
        <v>Raphaël</v>
      </c>
      <c r="G348" s="1" t="str">
        <f>"Cyr"</f>
        <v>Cyr</v>
      </c>
      <c r="H348" s="1" t="str">
        <f>"0174344"</f>
        <v>0174344</v>
      </c>
      <c r="I348" s="1" t="str">
        <f t="shared" si="37"/>
        <v>M</v>
      </c>
      <c r="J348" s="2">
        <v>2007</v>
      </c>
      <c r="K348" s="1" t="str">
        <f>"2k"</f>
        <v>2k</v>
      </c>
      <c r="L348" s="1" t="str">
        <f t="shared" si="33"/>
        <v>U14</v>
      </c>
      <c r="M348" s="1" t="str">
        <f t="shared" si="38"/>
        <v>-38</v>
      </c>
      <c r="N348" s="1" t="str">
        <f>""</f>
        <v/>
      </c>
      <c r="O348" s="1">
        <v>1</v>
      </c>
      <c r="P348" s="1"/>
      <c r="Q348" t="s">
        <v>253</v>
      </c>
    </row>
    <row r="349" spans="1:17" x14ac:dyDescent="0.25">
      <c r="A349" t="str">
        <f>"2018-10-10 23:22:05"</f>
        <v>2018-10-10 23:22:05</v>
      </c>
      <c r="B349" s="1" t="str">
        <f>""</f>
        <v/>
      </c>
      <c r="C349" s="1" t="str">
        <f>"Club de judo Torii"</f>
        <v>Club de judo Torii</v>
      </c>
      <c r="D349" s="1" t="str">
        <f>"QC"</f>
        <v>QC</v>
      </c>
      <c r="E349" s="1" t="str">
        <f>"Quebec"</f>
        <v>Quebec</v>
      </c>
      <c r="F349" s="1" t="str">
        <f>"Nicolas"</f>
        <v>Nicolas</v>
      </c>
      <c r="G349" s="1" t="str">
        <f>"Gravel"</f>
        <v>Gravel</v>
      </c>
      <c r="H349" s="1" t="str">
        <f>"0205928"</f>
        <v>0205928</v>
      </c>
      <c r="I349" s="1" t="str">
        <f t="shared" si="37"/>
        <v>M</v>
      </c>
      <c r="J349" s="2">
        <v>2006</v>
      </c>
      <c r="K349" s="1" t="str">
        <f>"3k"</f>
        <v>3k</v>
      </c>
      <c r="L349" s="1" t="str">
        <f t="shared" si="33"/>
        <v>U14</v>
      </c>
      <c r="M349" s="1" t="str">
        <f t="shared" si="38"/>
        <v>-38</v>
      </c>
      <c r="N349" s="1" t="str">
        <f>""</f>
        <v/>
      </c>
      <c r="O349" s="1">
        <v>1</v>
      </c>
      <c r="P349" s="1"/>
      <c r="Q349" t="s">
        <v>253</v>
      </c>
    </row>
    <row r="350" spans="1:17" x14ac:dyDescent="0.25">
      <c r="A350" t="str">
        <f>"2018-10-17 20:44:30"</f>
        <v>2018-10-17 20:44:30</v>
      </c>
      <c r="B350" s="1" t="str">
        <f>""</f>
        <v/>
      </c>
      <c r="C350" s="1" t="s">
        <v>254</v>
      </c>
      <c r="D350" s="1" t="str">
        <f>"QC"</f>
        <v>QC</v>
      </c>
      <c r="E350" s="1" t="str">
        <f>"Quebec"</f>
        <v>Quebec</v>
      </c>
      <c r="F350" s="1" t="str">
        <f>"Amine"</f>
        <v>Amine</v>
      </c>
      <c r="G350" s="1" t="str">
        <f>"Hadj Bachir"</f>
        <v>Hadj Bachir</v>
      </c>
      <c r="H350" s="1" t="str">
        <f>"0205099"</f>
        <v>0205099</v>
      </c>
      <c r="I350" s="1" t="str">
        <f t="shared" si="37"/>
        <v>M</v>
      </c>
      <c r="J350" s="2">
        <v>2007</v>
      </c>
      <c r="K350" s="1" t="str">
        <f>"3k"</f>
        <v>3k</v>
      </c>
      <c r="L350" s="1" t="str">
        <f t="shared" si="33"/>
        <v>U14</v>
      </c>
      <c r="M350" s="1" t="str">
        <f t="shared" si="38"/>
        <v>-38</v>
      </c>
      <c r="N350" s="1" t="str">
        <f>""</f>
        <v/>
      </c>
      <c r="O350" s="1">
        <v>1</v>
      </c>
      <c r="P350" s="1"/>
      <c r="Q350" t="s">
        <v>253</v>
      </c>
    </row>
    <row r="351" spans="1:17" x14ac:dyDescent="0.25">
      <c r="A351" t="str">
        <f>"2018-10-19 11:01:51"</f>
        <v>2018-10-19 11:01:51</v>
      </c>
      <c r="B351" s="1" t="str">
        <f>""</f>
        <v/>
      </c>
      <c r="C351" s="1" t="str">
        <f>"Challenge Sports Club"</f>
        <v>Challenge Sports Club</v>
      </c>
      <c r="D351" s="1" t="str">
        <f>"ON"</f>
        <v>ON</v>
      </c>
      <c r="E351" s="1" t="str">
        <f>"Ontario"</f>
        <v>Ontario</v>
      </c>
      <c r="F351" s="1" t="str">
        <f>"Vladimir"</f>
        <v>Vladimir</v>
      </c>
      <c r="G351" s="1" t="str">
        <f>"Hegai"</f>
        <v>Hegai</v>
      </c>
      <c r="H351" s="1" t="str">
        <f>"0215020"</f>
        <v>0215020</v>
      </c>
      <c r="I351" s="1" t="str">
        <f t="shared" si="37"/>
        <v>M</v>
      </c>
      <c r="J351" s="2">
        <v>2007</v>
      </c>
      <c r="K351" s="1" t="str">
        <f>"3k"</f>
        <v>3k</v>
      </c>
      <c r="L351" s="1" t="str">
        <f t="shared" si="33"/>
        <v>U14</v>
      </c>
      <c r="M351" s="1" t="str">
        <f t="shared" si="38"/>
        <v>-38</v>
      </c>
      <c r="N351" s="1" t="str">
        <f>""</f>
        <v/>
      </c>
      <c r="O351" s="1">
        <v>1</v>
      </c>
      <c r="P351" s="1"/>
      <c r="Q351" t="s">
        <v>253</v>
      </c>
    </row>
    <row r="352" spans="1:17" x14ac:dyDescent="0.25">
      <c r="A352" t="str">
        <f>"2018-09-22 10:53:58"</f>
        <v>2018-09-22 10:53:58</v>
      </c>
      <c r="B352" s="1" t="str">
        <f>""</f>
        <v/>
      </c>
      <c r="C352" s="1" t="str">
        <f>"Club de judo Métropolitain inc."</f>
        <v>Club de judo Métropolitain inc.</v>
      </c>
      <c r="D352" s="1" t="str">
        <f>"QC"</f>
        <v>QC</v>
      </c>
      <c r="E352" s="1" t="str">
        <f>"Quebec"</f>
        <v>Quebec</v>
      </c>
      <c r="F352" s="1" t="str">
        <f>"Youcef"</f>
        <v>Youcef</v>
      </c>
      <c r="G352" s="1" t="str">
        <f>"Ikene"</f>
        <v>Ikene</v>
      </c>
      <c r="H352" s="1" t="str">
        <f>"0195171"</f>
        <v>0195171</v>
      </c>
      <c r="I352" s="1" t="str">
        <f t="shared" si="37"/>
        <v>M</v>
      </c>
      <c r="J352" s="2">
        <v>2007</v>
      </c>
      <c r="K352" s="1" t="str">
        <f>"3k"</f>
        <v>3k</v>
      </c>
      <c r="L352" s="1" t="str">
        <f t="shared" si="33"/>
        <v>U14</v>
      </c>
      <c r="M352" s="1" t="str">
        <f t="shared" si="38"/>
        <v>-38</v>
      </c>
      <c r="N352" s="1" t="str">
        <f>""</f>
        <v/>
      </c>
      <c r="O352" s="1">
        <v>1</v>
      </c>
      <c r="P352" s="1"/>
      <c r="Q352" t="s">
        <v>253</v>
      </c>
    </row>
    <row r="353" spans="1:17" x14ac:dyDescent="0.25">
      <c r="B353" s="1" t="str">
        <f>""</f>
        <v/>
      </c>
      <c r="C353" s="1" t="str">
        <f>"Centre Budo Kwai Quebec Inc"</f>
        <v>Centre Budo Kwai Quebec Inc</v>
      </c>
      <c r="D353" s="1" t="str">
        <f>"QC"</f>
        <v>QC</v>
      </c>
      <c r="E353" s="1" t="str">
        <f>"Quebec"</f>
        <v>Quebec</v>
      </c>
      <c r="F353" s="1" t="str">
        <f>"Antoine"</f>
        <v>Antoine</v>
      </c>
      <c r="G353" s="1" t="str">
        <f>"Jean-Pierre"</f>
        <v>Jean-Pierre</v>
      </c>
      <c r="H353" s="1" t="str">
        <f>"0220797"</f>
        <v>0220797</v>
      </c>
      <c r="I353" s="1" t="str">
        <f t="shared" si="37"/>
        <v>M</v>
      </c>
      <c r="J353" s="1">
        <v>2006</v>
      </c>
      <c r="K353" s="1" t="s">
        <v>73</v>
      </c>
      <c r="L353" s="1" t="str">
        <f t="shared" si="33"/>
        <v>U14</v>
      </c>
      <c r="M353" s="1" t="str">
        <f t="shared" si="38"/>
        <v>-38</v>
      </c>
      <c r="N353" s="1" t="str">
        <f>""</f>
        <v/>
      </c>
      <c r="O353" s="1"/>
      <c r="P353" s="1"/>
      <c r="Q353" t="s">
        <v>253</v>
      </c>
    </row>
    <row r="354" spans="1:17" x14ac:dyDescent="0.25">
      <c r="A354" t="str">
        <f>"2018-10-21 12:52:22"</f>
        <v>2018-10-21 12:52:22</v>
      </c>
      <c r="B354" s="1" t="str">
        <f>""</f>
        <v/>
      </c>
      <c r="C354" s="1" t="str">
        <f>"Bathurst Fudoshin Judo Club"</f>
        <v>Bathurst Fudoshin Judo Club</v>
      </c>
      <c r="D354" s="1" t="str">
        <f>"NB"</f>
        <v>NB</v>
      </c>
      <c r="E354" s="1" t="str">
        <f>"New Brunswick"</f>
        <v>New Brunswick</v>
      </c>
      <c r="F354" s="1" t="str">
        <f>"Hunter"</f>
        <v>Hunter</v>
      </c>
      <c r="G354" s="1" t="str">
        <f>"Lavigne"</f>
        <v>Lavigne</v>
      </c>
      <c r="H354" s="1" t="str">
        <f>"0215841"</f>
        <v>0215841</v>
      </c>
      <c r="I354" s="1" t="str">
        <f t="shared" si="37"/>
        <v>M</v>
      </c>
      <c r="J354" s="2">
        <v>2007</v>
      </c>
      <c r="K354" s="1" t="str">
        <f>"3k+"</f>
        <v>3k+</v>
      </c>
      <c r="L354" s="1" t="str">
        <f t="shared" si="33"/>
        <v>U14</v>
      </c>
      <c r="M354" s="1" t="str">
        <f t="shared" si="38"/>
        <v>-38</v>
      </c>
      <c r="N354" s="1" t="str">
        <f>""</f>
        <v/>
      </c>
      <c r="O354" s="1">
        <v>1</v>
      </c>
      <c r="P354" s="1"/>
      <c r="Q354" t="s">
        <v>253</v>
      </c>
    </row>
    <row r="355" spans="1:17" x14ac:dyDescent="0.25">
      <c r="A355" t="str">
        <f>"2018-10-19 21:15:50"</f>
        <v>2018-10-19 21:15:50</v>
      </c>
      <c r="B355" s="1" t="str">
        <f>""</f>
        <v/>
      </c>
      <c r="C355" s="1" t="str">
        <f>"Scarborough Dojo"</f>
        <v>Scarborough Dojo</v>
      </c>
      <c r="D355" s="1" t="str">
        <f>"ON"</f>
        <v>ON</v>
      </c>
      <c r="E355" s="1" t="str">
        <f>"Ontario"</f>
        <v>Ontario</v>
      </c>
      <c r="F355" s="1" t="str">
        <f>"Andrei Philippe"</f>
        <v>Andrei Philippe</v>
      </c>
      <c r="G355" s="1" t="str">
        <f>"Manuel"</f>
        <v>Manuel</v>
      </c>
      <c r="H355" s="1" t="str">
        <f>"0213198"</f>
        <v>0213198</v>
      </c>
      <c r="I355" s="1" t="str">
        <f t="shared" si="37"/>
        <v>M</v>
      </c>
      <c r="J355" s="2">
        <v>2007</v>
      </c>
      <c r="K355" s="1" t="str">
        <f>"3k"</f>
        <v>3k</v>
      </c>
      <c r="L355" s="1" t="str">
        <f t="shared" si="33"/>
        <v>U14</v>
      </c>
      <c r="M355" s="1" t="str">
        <f t="shared" si="38"/>
        <v>-38</v>
      </c>
      <c r="N355" s="1" t="str">
        <f>""</f>
        <v/>
      </c>
      <c r="O355" s="1">
        <v>1</v>
      </c>
      <c r="P355" s="1"/>
      <c r="Q355" t="s">
        <v>253</v>
      </c>
    </row>
    <row r="356" spans="1:17" x14ac:dyDescent="0.25">
      <c r="A356" t="str">
        <f>"2018-10-18 13:43:06"</f>
        <v>2018-10-18 13:43:06</v>
      </c>
      <c r="B356" s="1" t="str">
        <f>""</f>
        <v/>
      </c>
      <c r="C356" s="1" t="str">
        <f>"Club judokas Jonquière inc."</f>
        <v>Club judokas Jonquière inc.</v>
      </c>
      <c r="D356" s="1" t="str">
        <f>"QC"</f>
        <v>QC</v>
      </c>
      <c r="E356" s="1" t="str">
        <f>"Quebec"</f>
        <v>Quebec</v>
      </c>
      <c r="F356" s="1" t="str">
        <f>"Vincent"</f>
        <v>Vincent</v>
      </c>
      <c r="G356" s="1" t="str">
        <f>"Nepton"</f>
        <v>Nepton</v>
      </c>
      <c r="H356" s="1" t="str">
        <f>"0184297"</f>
        <v>0184297</v>
      </c>
      <c r="I356" s="1" t="str">
        <f t="shared" si="37"/>
        <v>M</v>
      </c>
      <c r="J356" s="2">
        <v>2006</v>
      </c>
      <c r="K356" s="1" t="str">
        <f>"2k"</f>
        <v>2k</v>
      </c>
      <c r="L356" s="1" t="str">
        <f t="shared" si="33"/>
        <v>U14</v>
      </c>
      <c r="M356" s="1" t="str">
        <f t="shared" si="38"/>
        <v>-38</v>
      </c>
      <c r="N356" s="1" t="str">
        <f>""</f>
        <v/>
      </c>
      <c r="O356" s="1">
        <v>2</v>
      </c>
      <c r="P356" s="1"/>
      <c r="Q356" t="s">
        <v>253</v>
      </c>
    </row>
    <row r="357" spans="1:17" x14ac:dyDescent="0.25">
      <c r="A357" t="str">
        <f>"2018-10-19 22:09:43"</f>
        <v>2018-10-19 22:09:43</v>
      </c>
      <c r="B357" s="1" t="str">
        <f>""</f>
        <v/>
      </c>
      <c r="C357" s="1" t="str">
        <f>"Académie de Judo de Sept-Iles Inc."</f>
        <v>Académie de Judo de Sept-Iles Inc.</v>
      </c>
      <c r="D357" s="1" t="str">
        <f>"QC"</f>
        <v>QC</v>
      </c>
      <c r="E357" s="1" t="str">
        <f>"canada"</f>
        <v>canada</v>
      </c>
      <c r="F357" s="1" t="str">
        <f>"Julien"</f>
        <v>Julien</v>
      </c>
      <c r="G357" s="1" t="str">
        <f>"Rodgers"</f>
        <v>Rodgers</v>
      </c>
      <c r="H357" s="1" t="str">
        <f>"0174375"</f>
        <v>0174375</v>
      </c>
      <c r="I357" s="1" t="str">
        <f t="shared" si="37"/>
        <v>M</v>
      </c>
      <c r="J357" s="2">
        <v>2007</v>
      </c>
      <c r="K357" s="1" t="str">
        <f>"3k+"</f>
        <v>3k+</v>
      </c>
      <c r="L357" s="1" t="str">
        <f t="shared" si="33"/>
        <v>U14</v>
      </c>
      <c r="M357" s="1" t="str">
        <f t="shared" si="38"/>
        <v>-38</v>
      </c>
      <c r="N357" s="1" t="str">
        <f>""</f>
        <v/>
      </c>
      <c r="O357" s="1">
        <v>1</v>
      </c>
      <c r="P357" s="1"/>
      <c r="Q357" t="s">
        <v>253</v>
      </c>
    </row>
    <row r="358" spans="1:17" x14ac:dyDescent="0.25">
      <c r="A358" t="str">
        <f>"2018-10-14 00:30:13"</f>
        <v>2018-10-14 00:30:13</v>
      </c>
      <c r="B358" s="1" t="str">
        <f>""</f>
        <v/>
      </c>
      <c r="C358" s="1" t="str">
        <f>"Club de Judo d'Asbestos-Danville"</f>
        <v>Club de Judo d'Asbestos-Danville</v>
      </c>
      <c r="D358" s="1" t="str">
        <f>"QC"</f>
        <v>QC</v>
      </c>
      <c r="E358" s="1" t="str">
        <f>"Quebec"</f>
        <v>Quebec</v>
      </c>
      <c r="F358" s="1" t="str">
        <f>"Issac"</f>
        <v>Issac</v>
      </c>
      <c r="G358" s="1" t="str">
        <f>"Roy"</f>
        <v>Roy</v>
      </c>
      <c r="H358" s="1" t="str">
        <f>"0182687"</f>
        <v>0182687</v>
      </c>
      <c r="I358" s="1" t="str">
        <f t="shared" si="37"/>
        <v>M</v>
      </c>
      <c r="J358" s="2">
        <v>2006</v>
      </c>
      <c r="K358" s="1" t="str">
        <f>"3k+"</f>
        <v>3k+</v>
      </c>
      <c r="L358" s="1" t="str">
        <f t="shared" si="33"/>
        <v>U14</v>
      </c>
      <c r="M358" s="1" t="str">
        <f t="shared" si="38"/>
        <v>-38</v>
      </c>
      <c r="N358" s="1" t="str">
        <f>""</f>
        <v/>
      </c>
      <c r="O358" s="1">
        <v>1</v>
      </c>
      <c r="P358" s="1"/>
      <c r="Q358" t="s">
        <v>253</v>
      </c>
    </row>
    <row r="359" spans="1:17" x14ac:dyDescent="0.25">
      <c r="A359" t="str">
        <f>"2018-10-01 17:03:56"</f>
        <v>2018-10-01 17:03:56</v>
      </c>
      <c r="B359" s="1" t="str">
        <f>""</f>
        <v/>
      </c>
      <c r="C359" s="1" t="s">
        <v>254</v>
      </c>
      <c r="D359" s="1" t="str">
        <f>"QC"</f>
        <v>QC</v>
      </c>
      <c r="E359" s="1" t="str">
        <f>"Québec"</f>
        <v>Québec</v>
      </c>
      <c r="F359" s="1" t="str">
        <f>"Abdel-Djaleel"</f>
        <v>Abdel-Djaleel</v>
      </c>
      <c r="G359" s="1" t="str">
        <f>"Salhi"</f>
        <v>Salhi</v>
      </c>
      <c r="H359" s="1" t="str">
        <f>"0186653"</f>
        <v>0186653</v>
      </c>
      <c r="I359" s="1" t="str">
        <f t="shared" si="37"/>
        <v>M</v>
      </c>
      <c r="J359" s="2">
        <v>2006</v>
      </c>
      <c r="K359" s="1" t="str">
        <f>"3k"</f>
        <v>3k</v>
      </c>
      <c r="L359" s="1" t="str">
        <f t="shared" si="33"/>
        <v>U14</v>
      </c>
      <c r="M359" s="8">
        <v>-38</v>
      </c>
      <c r="N359" s="1" t="str">
        <f>""</f>
        <v/>
      </c>
      <c r="O359" s="1">
        <v>1</v>
      </c>
      <c r="P359" s="1"/>
      <c r="Q359" t="s">
        <v>253</v>
      </c>
    </row>
    <row r="360" spans="1:17" x14ac:dyDescent="0.25">
      <c r="A360" t="str">
        <f>"2018-10-19 10:34:56"</f>
        <v>2018-10-19 10:34:56</v>
      </c>
      <c r="B360" s="1" t="str">
        <f>""</f>
        <v/>
      </c>
      <c r="C360" s="1" t="str">
        <f>"Mile Zero Judo Club"</f>
        <v>Mile Zero Judo Club</v>
      </c>
      <c r="D360" s="1" t="str">
        <f>"BC"</f>
        <v>BC</v>
      </c>
      <c r="E360" s="1" t="str">
        <f>"British Columbia"</f>
        <v>British Columbia</v>
      </c>
      <c r="F360" s="1" t="str">
        <f>"Flynn"</f>
        <v>Flynn</v>
      </c>
      <c r="G360" s="1" t="str">
        <f>"Smith"</f>
        <v>Smith</v>
      </c>
      <c r="H360" s="1" t="str">
        <f>"0222216"</f>
        <v>0222216</v>
      </c>
      <c r="I360" s="1" t="str">
        <f t="shared" si="37"/>
        <v>M</v>
      </c>
      <c r="J360" s="2">
        <v>2006</v>
      </c>
      <c r="K360" s="1" t="str">
        <f>"3k"</f>
        <v>3k</v>
      </c>
      <c r="L360" s="1" t="str">
        <f t="shared" si="33"/>
        <v>U14</v>
      </c>
      <c r="M360" s="1" t="str">
        <f>"-38"</f>
        <v>-38</v>
      </c>
      <c r="N360" s="1" t="str">
        <f>""</f>
        <v/>
      </c>
      <c r="O360" s="1">
        <v>1</v>
      </c>
      <c r="P360" s="1"/>
      <c r="Q360" t="s">
        <v>253</v>
      </c>
    </row>
    <row r="361" spans="1:17" x14ac:dyDescent="0.25">
      <c r="A361" t="str">
        <f>"2018-10-19 22:26:39"</f>
        <v>2018-10-19 22:26:39</v>
      </c>
      <c r="B361" s="1" t="str">
        <f>"2018-10-17 19:00:21"</f>
        <v>2018-10-17 19:00:21</v>
      </c>
      <c r="C361" s="1" t="str">
        <f>"Taifu Judo Club"</f>
        <v>Taifu Judo Club</v>
      </c>
      <c r="D361" s="1" t="str">
        <f>"ON"</f>
        <v>ON</v>
      </c>
      <c r="E361" s="1" t="str">
        <f>"Ontario"</f>
        <v>Ontario</v>
      </c>
      <c r="F361" s="1" t="str">
        <f>"Elisey"</f>
        <v>Elisey</v>
      </c>
      <c r="G361" s="1" t="str">
        <f>"Sokolov"</f>
        <v>Sokolov</v>
      </c>
      <c r="H361" s="1" t="str">
        <f>"0203733"</f>
        <v>0203733</v>
      </c>
      <c r="I361" s="1" t="str">
        <f t="shared" si="37"/>
        <v>M</v>
      </c>
      <c r="J361" s="2">
        <v>2007</v>
      </c>
      <c r="K361" s="1" t="str">
        <f>"3k"</f>
        <v>3k</v>
      </c>
      <c r="L361" s="1" t="str">
        <f t="shared" si="33"/>
        <v>U14</v>
      </c>
      <c r="M361" s="1" t="str">
        <f>"-38"</f>
        <v>-38</v>
      </c>
      <c r="N361" s="1" t="str">
        <f>""</f>
        <v/>
      </c>
      <c r="O361" s="1">
        <v>1</v>
      </c>
      <c r="P361" s="1"/>
      <c r="Q361" t="s">
        <v>253</v>
      </c>
    </row>
    <row r="362" spans="1:17" x14ac:dyDescent="0.25">
      <c r="B362" s="1" t="str">
        <f>""</f>
        <v/>
      </c>
      <c r="C362" s="1" t="str">
        <f>"Club de Judo Ippon Inc"</f>
        <v>Club de Judo Ippon Inc</v>
      </c>
      <c r="D362" s="1" t="str">
        <f>"QC"</f>
        <v>QC</v>
      </c>
      <c r="E362" s="1" t="str">
        <f>"Quebec"</f>
        <v>Quebec</v>
      </c>
      <c r="F362" s="1" t="str">
        <f>"Danyil"</f>
        <v>Danyil</v>
      </c>
      <c r="G362" s="1" t="str">
        <f>"Tkach"</f>
        <v>Tkach</v>
      </c>
      <c r="H362" s="1" t="str">
        <f>"0203122"</f>
        <v>0203122</v>
      </c>
      <c r="I362" s="1" t="str">
        <f t="shared" si="37"/>
        <v>M</v>
      </c>
      <c r="J362" s="1">
        <v>2007</v>
      </c>
      <c r="K362" s="1" t="s">
        <v>73</v>
      </c>
      <c r="L362" s="1" t="str">
        <f t="shared" si="33"/>
        <v>U14</v>
      </c>
      <c r="M362" s="1" t="str">
        <f>"-38"</f>
        <v>-38</v>
      </c>
      <c r="N362" s="1"/>
      <c r="O362" s="1">
        <v>1</v>
      </c>
      <c r="P362" s="1"/>
      <c r="Q362" t="s">
        <v>253</v>
      </c>
    </row>
    <row r="363" spans="1:17" x14ac:dyDescent="0.25">
      <c r="A363" t="str">
        <f>"2018-09-29 19:03:13"</f>
        <v>2018-09-29 19:03:13</v>
      </c>
      <c r="B363" s="1" t="str">
        <f>""</f>
        <v/>
      </c>
      <c r="C363" s="1" t="str">
        <f>"Toronto Judo Kai"</f>
        <v>Toronto Judo Kai</v>
      </c>
      <c r="D363" s="1" t="str">
        <f>"ON"</f>
        <v>ON</v>
      </c>
      <c r="E363" s="1" t="str">
        <f>"Ontario"</f>
        <v>Ontario</v>
      </c>
      <c r="F363" s="1" t="str">
        <f>"Gabrielle Monique"</f>
        <v>Gabrielle Monique</v>
      </c>
      <c r="G363" s="1" t="str">
        <f>"Castro"</f>
        <v>Castro</v>
      </c>
      <c r="H363" s="1" t="str">
        <f>"0223308"</f>
        <v>0223308</v>
      </c>
      <c r="I363" s="1" t="str">
        <f t="shared" ref="I363:I370" si="39">"F"</f>
        <v>F</v>
      </c>
      <c r="J363" s="2">
        <v>2006</v>
      </c>
      <c r="K363" s="1" t="str">
        <f t="shared" ref="K363:K369" si="40">"3k"</f>
        <v>3k</v>
      </c>
      <c r="L363" s="1" t="str">
        <f t="shared" si="33"/>
        <v>U14</v>
      </c>
      <c r="M363" s="1" t="str">
        <f t="shared" ref="M363:M370" si="41">"-40"</f>
        <v>-40</v>
      </c>
      <c r="N363" s="1" t="str">
        <f>""</f>
        <v/>
      </c>
      <c r="O363" s="1">
        <v>1</v>
      </c>
      <c r="P363" s="1"/>
      <c r="Q363" t="s">
        <v>255</v>
      </c>
    </row>
    <row r="364" spans="1:17" x14ac:dyDescent="0.25">
      <c r="A364" t="str">
        <f>"2018-10-04 22:27:00"</f>
        <v>2018-10-04 22:27:00</v>
      </c>
      <c r="B364" s="1" t="str">
        <f>""</f>
        <v/>
      </c>
      <c r="C364" s="1" t="str">
        <f>"Pense Judo Club"</f>
        <v>Pense Judo Club</v>
      </c>
      <c r="D364" s="1" t="str">
        <f>"SK"</f>
        <v>SK</v>
      </c>
      <c r="E364" s="1" t="str">
        <f>"Saskatchewan"</f>
        <v>Saskatchewan</v>
      </c>
      <c r="F364" s="1" t="str">
        <f>"Kolbi"</f>
        <v>Kolbi</v>
      </c>
      <c r="G364" s="1" t="str">
        <f>"Fenrick"</f>
        <v>Fenrick</v>
      </c>
      <c r="H364" s="1" t="str">
        <f>"0207963"</f>
        <v>0207963</v>
      </c>
      <c r="I364" s="1" t="str">
        <f t="shared" si="39"/>
        <v>F</v>
      </c>
      <c r="J364" s="2">
        <v>2006</v>
      </c>
      <c r="K364" s="1" t="str">
        <f t="shared" si="40"/>
        <v>3k</v>
      </c>
      <c r="L364" s="1" t="str">
        <f t="shared" si="33"/>
        <v>U14</v>
      </c>
      <c r="M364" s="1" t="str">
        <f t="shared" si="41"/>
        <v>-40</v>
      </c>
      <c r="N364" s="1" t="str">
        <f>""</f>
        <v/>
      </c>
      <c r="O364" s="1">
        <v>1</v>
      </c>
      <c r="P364" s="1"/>
      <c r="Q364" t="s">
        <v>255</v>
      </c>
    </row>
    <row r="365" spans="1:17" x14ac:dyDescent="0.25">
      <c r="A365" t="str">
        <f>"2018-10-02 09:39:19"</f>
        <v>2018-10-02 09:39:19</v>
      </c>
      <c r="B365" s="1" t="str">
        <f>""</f>
        <v/>
      </c>
      <c r="C365" s="1" t="str">
        <f>"Koseikan Judo Club"</f>
        <v>Koseikan Judo Club</v>
      </c>
      <c r="D365" s="1" t="str">
        <f>"SK"</f>
        <v>SK</v>
      </c>
      <c r="E365" s="1" t="str">
        <f>"Saskatchewan"</f>
        <v>Saskatchewan</v>
      </c>
      <c r="F365" s="1" t="str">
        <f>"Avery"</f>
        <v>Avery</v>
      </c>
      <c r="G365" s="1" t="str">
        <f>"Gibney"</f>
        <v>Gibney</v>
      </c>
      <c r="H365" s="1" t="str">
        <f>"0199047"</f>
        <v>0199047</v>
      </c>
      <c r="I365" s="1" t="str">
        <f t="shared" si="39"/>
        <v>F</v>
      </c>
      <c r="J365" s="2">
        <v>2006</v>
      </c>
      <c r="K365" s="1" t="str">
        <f t="shared" si="40"/>
        <v>3k</v>
      </c>
      <c r="L365" s="1" t="str">
        <f t="shared" si="33"/>
        <v>U14</v>
      </c>
      <c r="M365" s="1" t="str">
        <f t="shared" si="41"/>
        <v>-40</v>
      </c>
      <c r="N365" s="1" t="str">
        <f>""</f>
        <v/>
      </c>
      <c r="O365" s="1">
        <v>1</v>
      </c>
      <c r="P365" s="1"/>
      <c r="Q365" t="s">
        <v>255</v>
      </c>
    </row>
    <row r="366" spans="1:17" x14ac:dyDescent="0.25">
      <c r="A366" t="str">
        <f>"2018-10-04 17:24:21"</f>
        <v>2018-10-04 17:24:21</v>
      </c>
      <c r="B366" s="1" t="str">
        <f>""</f>
        <v/>
      </c>
      <c r="C366" s="1" t="str">
        <f>"Hayabusakan"</f>
        <v>Hayabusakan</v>
      </c>
      <c r="D366" s="1" t="str">
        <f>"ON"</f>
        <v>ON</v>
      </c>
      <c r="E366" s="1" t="str">
        <f>"Ontario"</f>
        <v>Ontario</v>
      </c>
      <c r="F366" s="1" t="str">
        <f>"Olivia"</f>
        <v>Olivia</v>
      </c>
      <c r="G366" s="1" t="str">
        <f>"Ormston"</f>
        <v>Ormston</v>
      </c>
      <c r="H366" s="1" t="str">
        <f>"0225326"</f>
        <v>0225326</v>
      </c>
      <c r="I366" s="1" t="str">
        <f t="shared" si="39"/>
        <v>F</v>
      </c>
      <c r="J366" s="2">
        <v>2007</v>
      </c>
      <c r="K366" s="1" t="str">
        <f t="shared" si="40"/>
        <v>3k</v>
      </c>
      <c r="L366" s="1" t="str">
        <f t="shared" si="33"/>
        <v>U14</v>
      </c>
      <c r="M366" s="1" t="str">
        <f t="shared" si="41"/>
        <v>-40</v>
      </c>
      <c r="N366" s="1" t="str">
        <f>""</f>
        <v/>
      </c>
      <c r="O366" s="1">
        <v>1</v>
      </c>
      <c r="P366" s="1"/>
      <c r="Q366" t="s">
        <v>255</v>
      </c>
    </row>
    <row r="367" spans="1:17" x14ac:dyDescent="0.25">
      <c r="A367" t="str">
        <f>"2018-10-02 09:39:19"</f>
        <v>2018-10-02 09:39:19</v>
      </c>
      <c r="B367" s="1" t="str">
        <f>""</f>
        <v/>
      </c>
      <c r="C367" s="1" t="str">
        <f>"Club de judo Shidokan inc."</f>
        <v>Club de judo Shidokan inc.</v>
      </c>
      <c r="D367" s="1" t="str">
        <f>"QC"</f>
        <v>QC</v>
      </c>
      <c r="E367" s="1" t="str">
        <f>"Quebec"</f>
        <v>Quebec</v>
      </c>
      <c r="F367" s="1" t="str">
        <f>"Amina Sofia"</f>
        <v>Amina Sofia</v>
      </c>
      <c r="G367" s="1" t="str">
        <f>"Rahal"</f>
        <v>Rahal</v>
      </c>
      <c r="H367" s="1" t="str">
        <f>"0196144"</f>
        <v>0196144</v>
      </c>
      <c r="I367" s="1" t="str">
        <f t="shared" si="39"/>
        <v>F</v>
      </c>
      <c r="J367" s="2">
        <v>2006</v>
      </c>
      <c r="K367" s="1" t="str">
        <f t="shared" si="40"/>
        <v>3k</v>
      </c>
      <c r="L367" s="1" t="str">
        <f t="shared" si="33"/>
        <v>U14</v>
      </c>
      <c r="M367" s="1" t="str">
        <f t="shared" si="41"/>
        <v>-40</v>
      </c>
      <c r="N367" s="1" t="str">
        <f>""</f>
        <v/>
      </c>
      <c r="O367" s="1">
        <v>1</v>
      </c>
      <c r="P367" s="1"/>
      <c r="Q367" t="s">
        <v>255</v>
      </c>
    </row>
    <row r="368" spans="1:17" x14ac:dyDescent="0.25">
      <c r="A368" t="str">
        <f>"2018-10-10 07:48:19"</f>
        <v>2018-10-10 07:48:19</v>
      </c>
      <c r="B368" s="1" t="str">
        <f>""</f>
        <v/>
      </c>
      <c r="C368" s="1" t="str">
        <f>"TotaL Form Fitness Judo Club"</f>
        <v>TotaL Form Fitness Judo Club</v>
      </c>
      <c r="D368" s="1" t="s">
        <v>106</v>
      </c>
      <c r="E368" s="1" t="str">
        <f>"USA"</f>
        <v>USA</v>
      </c>
      <c r="F368" s="1" t="str">
        <f>"Esther"</f>
        <v>Esther</v>
      </c>
      <c r="G368" s="1" t="str">
        <f>"Ribeiro"</f>
        <v>Ribeiro</v>
      </c>
      <c r="H368" s="1" t="str">
        <f>"AutreFederation"</f>
        <v>AutreFederation</v>
      </c>
      <c r="I368" s="1" t="str">
        <f t="shared" si="39"/>
        <v>F</v>
      </c>
      <c r="J368" s="2">
        <v>2006</v>
      </c>
      <c r="K368" s="1" t="str">
        <f t="shared" si="40"/>
        <v>3k</v>
      </c>
      <c r="L368" s="1" t="str">
        <f t="shared" si="33"/>
        <v>U14</v>
      </c>
      <c r="M368" s="1" t="str">
        <f t="shared" si="41"/>
        <v>-40</v>
      </c>
      <c r="N368" s="1" t="str">
        <f>""</f>
        <v/>
      </c>
      <c r="O368" s="1">
        <v>1</v>
      </c>
      <c r="P368" s="1"/>
      <c r="Q368" t="s">
        <v>255</v>
      </c>
    </row>
    <row r="369" spans="1:17" x14ac:dyDescent="0.25">
      <c r="A369" t="str">
        <f>"2018-10-15 19:01:25"</f>
        <v>2018-10-15 19:01:25</v>
      </c>
      <c r="B369" s="1" t="str">
        <f>""</f>
        <v/>
      </c>
      <c r="C369" s="7" t="str">
        <f>"Club judo Kyo Do Kan"</f>
        <v>Club judo Kyo Do Kan</v>
      </c>
      <c r="D369" s="7" t="str">
        <f>"QC"</f>
        <v>QC</v>
      </c>
      <c r="E369" s="1" t="str">
        <f>"Canada"</f>
        <v>Canada</v>
      </c>
      <c r="F369" s="1" t="str">
        <f>"Hayden"</f>
        <v>Hayden</v>
      </c>
      <c r="G369" s="1" t="str">
        <f>"Thibeault"</f>
        <v>Thibeault</v>
      </c>
      <c r="H369" s="7" t="str">
        <f>"AutreFederation"</f>
        <v>AutreFederation</v>
      </c>
      <c r="I369" s="1" t="str">
        <f t="shared" si="39"/>
        <v>F</v>
      </c>
      <c r="J369" s="2">
        <v>2007</v>
      </c>
      <c r="K369" s="1" t="str">
        <f t="shared" si="40"/>
        <v>3k</v>
      </c>
      <c r="L369" s="1" t="str">
        <f t="shared" si="33"/>
        <v>U14</v>
      </c>
      <c r="M369" s="1" t="str">
        <f t="shared" si="41"/>
        <v>-40</v>
      </c>
      <c r="N369" s="1" t="str">
        <f>""</f>
        <v/>
      </c>
      <c r="O369" s="1">
        <v>1</v>
      </c>
      <c r="P369" s="1"/>
      <c r="Q369" t="s">
        <v>255</v>
      </c>
    </row>
    <row r="370" spans="1:17" x14ac:dyDescent="0.25">
      <c r="A370" t="str">
        <f>"2018-09-29 19:03:13"</f>
        <v>2018-09-29 19:03:13</v>
      </c>
      <c r="B370" s="1" t="str">
        <f>""</f>
        <v/>
      </c>
      <c r="C370" s="1" t="str">
        <f>"Tech Judo"</f>
        <v>Tech Judo</v>
      </c>
      <c r="D370" s="1" t="s">
        <v>106</v>
      </c>
      <c r="E370" s="1" t="str">
        <f>"New Jersey"</f>
        <v>New Jersey</v>
      </c>
      <c r="F370" s="1" t="str">
        <f>"Dalia"</f>
        <v>Dalia</v>
      </c>
      <c r="G370" s="1" t="str">
        <f>"Tsyrlin"</f>
        <v>Tsyrlin</v>
      </c>
      <c r="H370" s="1" t="str">
        <f>"AutreFederation"</f>
        <v>AutreFederation</v>
      </c>
      <c r="I370" s="1" t="str">
        <f t="shared" si="39"/>
        <v>F</v>
      </c>
      <c r="J370" s="2">
        <v>2007</v>
      </c>
      <c r="K370" s="1" t="str">
        <f>"2k"</f>
        <v>2k</v>
      </c>
      <c r="L370" s="1" t="str">
        <f t="shared" si="33"/>
        <v>U14</v>
      </c>
      <c r="M370" s="1" t="str">
        <f t="shared" si="41"/>
        <v>-40</v>
      </c>
      <c r="N370" s="1" t="str">
        <f>""</f>
        <v/>
      </c>
      <c r="O370" s="1">
        <v>1</v>
      </c>
      <c r="P370" s="1"/>
      <c r="Q370" t="s">
        <v>255</v>
      </c>
    </row>
    <row r="371" spans="1:17" x14ac:dyDescent="0.25">
      <c r="A371" t="str">
        <f>"2018-10-19 10:06:09"</f>
        <v>2018-10-19 10:06:09</v>
      </c>
      <c r="B371" s="1" t="str">
        <f>""</f>
        <v/>
      </c>
      <c r="C371" s="1" t="str">
        <f>"Tora judo club"</f>
        <v>Tora judo club</v>
      </c>
      <c r="D371" s="1" t="str">
        <f>"ON"</f>
        <v>ON</v>
      </c>
      <c r="E371" s="1" t="str">
        <f>"Ontario"</f>
        <v>Ontario</v>
      </c>
      <c r="F371" s="1" t="str">
        <f>"Trenton"</f>
        <v>Trenton</v>
      </c>
      <c r="G371" s="1" t="str">
        <f>"Achico"</f>
        <v>Achico</v>
      </c>
      <c r="H371" s="1" t="str">
        <f>"0203742"</f>
        <v>0203742</v>
      </c>
      <c r="I371" s="1" t="str">
        <f t="shared" ref="I371:I389" si="42">"M"</f>
        <v>M</v>
      </c>
      <c r="J371" s="2">
        <v>2006</v>
      </c>
      <c r="K371" s="1" t="str">
        <f>"3k"</f>
        <v>3k</v>
      </c>
      <c r="L371" s="1" t="str">
        <f t="shared" si="33"/>
        <v>U14</v>
      </c>
      <c r="M371" s="1" t="str">
        <f t="shared" ref="M371:M387" si="43">"-42"</f>
        <v>-42</v>
      </c>
      <c r="N371" s="1" t="str">
        <f>""</f>
        <v/>
      </c>
      <c r="O371" s="1">
        <v>1</v>
      </c>
      <c r="P371" s="1"/>
      <c r="Q371" t="s">
        <v>256</v>
      </c>
    </row>
    <row r="372" spans="1:17" x14ac:dyDescent="0.25">
      <c r="A372" t="str">
        <f>"2018-10-19 21:42:12"</f>
        <v>2018-10-19 21:42:12</v>
      </c>
      <c r="B372" s="1" t="str">
        <f>""</f>
        <v/>
      </c>
      <c r="C372" s="1" t="str">
        <f>"Club de judo de la vieille capitale"</f>
        <v>Club de judo de la vieille capitale</v>
      </c>
      <c r="D372" s="1" t="str">
        <f>"QC"</f>
        <v>QC</v>
      </c>
      <c r="E372" s="1" t="str">
        <f>"Quebec"</f>
        <v>Quebec</v>
      </c>
      <c r="F372" s="1" t="str">
        <f>"Jules"</f>
        <v>Jules</v>
      </c>
      <c r="G372" s="1" t="str">
        <f>"Ampleman"</f>
        <v>Ampleman</v>
      </c>
      <c r="H372" s="1" t="str">
        <f>"0198063"</f>
        <v>0198063</v>
      </c>
      <c r="I372" s="1" t="str">
        <f t="shared" si="42"/>
        <v>M</v>
      </c>
      <c r="J372" s="2">
        <v>2006</v>
      </c>
      <c r="K372" s="1" t="str">
        <f>"3k"</f>
        <v>3k</v>
      </c>
      <c r="L372" s="1" t="str">
        <f t="shared" si="33"/>
        <v>U14</v>
      </c>
      <c r="M372" s="1" t="str">
        <f t="shared" si="43"/>
        <v>-42</v>
      </c>
      <c r="N372" s="1" t="str">
        <f>""</f>
        <v/>
      </c>
      <c r="O372" s="1">
        <v>1</v>
      </c>
      <c r="P372" s="1"/>
      <c r="Q372" t="s">
        <v>256</v>
      </c>
    </row>
    <row r="373" spans="1:17" x14ac:dyDescent="0.25">
      <c r="A373" t="str">
        <f>"2018-10-21 09:20:24"</f>
        <v>2018-10-21 09:20:24</v>
      </c>
      <c r="B373" s="1" t="str">
        <f>""</f>
        <v/>
      </c>
      <c r="C373" s="1" t="str">
        <f>"Budokai Judo Club"</f>
        <v>Budokai Judo Club</v>
      </c>
      <c r="D373" s="1" t="str">
        <f>"ON"</f>
        <v>ON</v>
      </c>
      <c r="E373" s="1" t="str">
        <f>"Yukon"</f>
        <v>Yukon</v>
      </c>
      <c r="F373" s="1" t="str">
        <f>"Maksim"</f>
        <v>Maksim</v>
      </c>
      <c r="G373" s="1" t="str">
        <f>"Antsipovitch"</f>
        <v>Antsipovitch</v>
      </c>
      <c r="H373" s="1" t="str">
        <f>"0208285"</f>
        <v>0208285</v>
      </c>
      <c r="I373" s="1" t="str">
        <f t="shared" si="42"/>
        <v>M</v>
      </c>
      <c r="J373" s="2">
        <v>2006</v>
      </c>
      <c r="K373" s="1" t="str">
        <f>"2k"</f>
        <v>2k</v>
      </c>
      <c r="L373" s="1" t="str">
        <f t="shared" si="33"/>
        <v>U14</v>
      </c>
      <c r="M373" s="1" t="str">
        <f t="shared" si="43"/>
        <v>-42</v>
      </c>
      <c r="N373" s="1" t="str">
        <f>""</f>
        <v/>
      </c>
      <c r="O373" s="1">
        <v>1</v>
      </c>
      <c r="P373" s="1"/>
      <c r="Q373" t="s">
        <v>256</v>
      </c>
    </row>
    <row r="374" spans="1:17" x14ac:dyDescent="0.25">
      <c r="A374" t="str">
        <f>"2018-10-17 16:42:59"</f>
        <v>2018-10-17 16:42:59</v>
      </c>
      <c r="B374" s="1" t="str">
        <f>""</f>
        <v/>
      </c>
      <c r="C374" s="1" t="str">
        <f>"Club de judo Olympique"</f>
        <v>Club de judo Olympique</v>
      </c>
      <c r="D374" s="1" t="str">
        <f t="shared" ref="D374:D384" si="44">"QC"</f>
        <v>QC</v>
      </c>
      <c r="E374" s="1" t="str">
        <f t="shared" ref="E374:E384" si="45">"Quebec"</f>
        <v>Quebec</v>
      </c>
      <c r="F374" s="1" t="str">
        <f>"Yanis"</f>
        <v>Yanis</v>
      </c>
      <c r="G374" s="1" t="str">
        <f>"Bélal"</f>
        <v>Bélal</v>
      </c>
      <c r="H374" s="1" t="str">
        <f>"0185406"</f>
        <v>0185406</v>
      </c>
      <c r="I374" s="1" t="str">
        <f t="shared" si="42"/>
        <v>M</v>
      </c>
      <c r="J374" s="2">
        <v>2007</v>
      </c>
      <c r="K374" s="1" t="str">
        <f>"3k+"</f>
        <v>3k+</v>
      </c>
      <c r="L374" s="1" t="str">
        <f t="shared" si="33"/>
        <v>U14</v>
      </c>
      <c r="M374" s="1" t="str">
        <f t="shared" si="43"/>
        <v>-42</v>
      </c>
      <c r="N374" s="1" t="str">
        <f>""</f>
        <v/>
      </c>
      <c r="O374" s="1">
        <v>1</v>
      </c>
      <c r="P374" s="1"/>
      <c r="Q374" t="s">
        <v>256</v>
      </c>
    </row>
    <row r="375" spans="1:17" x14ac:dyDescent="0.25">
      <c r="A375" t="str">
        <f>"2018-10-21 20:15:54"</f>
        <v>2018-10-21 20:15:54</v>
      </c>
      <c r="B375" s="1" t="str">
        <f>""</f>
        <v/>
      </c>
      <c r="C375" s="1" t="str">
        <f>"Club de Judo et de Ju-Jitsu Juvaldo inc."</f>
        <v>Club de Judo et de Ju-Jitsu Juvaldo inc.</v>
      </c>
      <c r="D375" s="1" t="str">
        <f t="shared" si="44"/>
        <v>QC</v>
      </c>
      <c r="E375" s="1" t="str">
        <f t="shared" si="45"/>
        <v>Quebec</v>
      </c>
      <c r="F375" s="1" t="str">
        <f>"Nabil"</f>
        <v>Nabil</v>
      </c>
      <c r="G375" s="1" t="str">
        <f>"Borsla"</f>
        <v>Borsla</v>
      </c>
      <c r="H375" s="1" t="str">
        <f>"0175383"</f>
        <v>0175383</v>
      </c>
      <c r="I375" s="1" t="str">
        <f t="shared" si="42"/>
        <v>M</v>
      </c>
      <c r="J375" s="2">
        <v>2006</v>
      </c>
      <c r="K375" s="1" t="str">
        <f>"3k"</f>
        <v>3k</v>
      </c>
      <c r="L375" s="1" t="str">
        <f t="shared" si="33"/>
        <v>U14</v>
      </c>
      <c r="M375" s="1" t="str">
        <f t="shared" si="43"/>
        <v>-42</v>
      </c>
      <c r="N375" s="1" t="str">
        <f>""</f>
        <v/>
      </c>
      <c r="O375" s="1">
        <v>1</v>
      </c>
      <c r="P375" s="1"/>
      <c r="Q375" t="s">
        <v>256</v>
      </c>
    </row>
    <row r="376" spans="1:17" x14ac:dyDescent="0.25">
      <c r="A376" t="str">
        <f>"2018-10-19 07:51:20"</f>
        <v>2018-10-19 07:51:20</v>
      </c>
      <c r="B376" s="1" t="str">
        <f>""</f>
        <v/>
      </c>
      <c r="C376" s="1" t="str">
        <f>"Club de judo de la vieille capitale"</f>
        <v>Club de judo de la vieille capitale</v>
      </c>
      <c r="D376" s="1" t="str">
        <f t="shared" si="44"/>
        <v>QC</v>
      </c>
      <c r="E376" s="1" t="str">
        <f t="shared" si="45"/>
        <v>Quebec</v>
      </c>
      <c r="F376" s="1" t="str">
        <f>"Renaud"</f>
        <v>Renaud</v>
      </c>
      <c r="G376" s="1" t="str">
        <f>"Chaunet"</f>
        <v>Chaunet</v>
      </c>
      <c r="H376" s="1" t="str">
        <f>"0198056"</f>
        <v>0198056</v>
      </c>
      <c r="I376" s="1" t="str">
        <f t="shared" si="42"/>
        <v>M</v>
      </c>
      <c r="J376" s="2">
        <v>2006</v>
      </c>
      <c r="K376" s="1" t="str">
        <f>"2k"</f>
        <v>2k</v>
      </c>
      <c r="L376" s="1" t="str">
        <f t="shared" si="33"/>
        <v>U14</v>
      </c>
      <c r="M376" s="1" t="str">
        <f t="shared" si="43"/>
        <v>-42</v>
      </c>
      <c r="N376" s="1" t="str">
        <f>""</f>
        <v/>
      </c>
      <c r="O376" s="1">
        <v>1</v>
      </c>
      <c r="P376" s="1"/>
      <c r="Q376" t="s">
        <v>256</v>
      </c>
    </row>
    <row r="377" spans="1:17" x14ac:dyDescent="0.25">
      <c r="A377" t="str">
        <f>"2018-10-16 13:34:41"</f>
        <v>2018-10-16 13:34:41</v>
      </c>
      <c r="B377" s="1" t="str">
        <f>""</f>
        <v/>
      </c>
      <c r="C377" s="1" t="str">
        <f>"Dojo Perrot Shima"</f>
        <v>Dojo Perrot Shima</v>
      </c>
      <c r="D377" s="1" t="str">
        <f t="shared" si="44"/>
        <v>QC</v>
      </c>
      <c r="E377" s="1" t="str">
        <f t="shared" si="45"/>
        <v>Quebec</v>
      </c>
      <c r="F377" s="1" t="str">
        <f>"Nathaniel"</f>
        <v>Nathaniel</v>
      </c>
      <c r="G377" s="1" t="str">
        <f>"De Souza"</f>
        <v>De Souza</v>
      </c>
      <c r="H377" s="1" t="str">
        <f>"0214904"</f>
        <v>0214904</v>
      </c>
      <c r="I377" s="1" t="str">
        <f t="shared" si="42"/>
        <v>M</v>
      </c>
      <c r="J377" s="2">
        <v>2006</v>
      </c>
      <c r="K377" s="1" t="str">
        <f>"3k"</f>
        <v>3k</v>
      </c>
      <c r="L377" s="1" t="str">
        <f t="shared" si="33"/>
        <v>U14</v>
      </c>
      <c r="M377" s="1" t="str">
        <f t="shared" si="43"/>
        <v>-42</v>
      </c>
      <c r="N377" s="1" t="str">
        <f>""</f>
        <v/>
      </c>
      <c r="O377" s="1">
        <v>1</v>
      </c>
      <c r="P377" s="1"/>
      <c r="Q377" t="s">
        <v>256</v>
      </c>
    </row>
    <row r="378" spans="1:17" x14ac:dyDescent="0.25">
      <c r="A378" t="str">
        <f>"2018-10-19 09:08:35"</f>
        <v>2018-10-19 09:08:35</v>
      </c>
      <c r="B378" s="1" t="str">
        <f>""</f>
        <v/>
      </c>
      <c r="C378" s="1" t="str">
        <f>"Club judokas Jonquière inc."</f>
        <v>Club judokas Jonquière inc.</v>
      </c>
      <c r="D378" s="1" t="str">
        <f t="shared" si="44"/>
        <v>QC</v>
      </c>
      <c r="E378" s="1" t="str">
        <f t="shared" si="45"/>
        <v>Quebec</v>
      </c>
      <c r="F378" s="1" t="str">
        <f>"Louis-Maxime"</f>
        <v>Louis-Maxime</v>
      </c>
      <c r="G378" s="1" t="str">
        <f>"Dube"</f>
        <v>Dube</v>
      </c>
      <c r="H378" s="1" t="str">
        <f>"0207218"</f>
        <v>0207218</v>
      </c>
      <c r="I378" s="1" t="str">
        <f t="shared" si="42"/>
        <v>M</v>
      </c>
      <c r="J378" s="2">
        <v>2006</v>
      </c>
      <c r="K378" s="1" t="str">
        <f>"3k+"</f>
        <v>3k+</v>
      </c>
      <c r="L378" s="1" t="str">
        <f t="shared" si="33"/>
        <v>U14</v>
      </c>
      <c r="M378" s="1" t="str">
        <f t="shared" si="43"/>
        <v>-42</v>
      </c>
      <c r="N378" s="1" t="str">
        <f>""</f>
        <v/>
      </c>
      <c r="O378" s="1">
        <v>1</v>
      </c>
      <c r="P378" s="1"/>
      <c r="Q378" t="s">
        <v>256</v>
      </c>
    </row>
    <row r="379" spans="1:17" x14ac:dyDescent="0.25">
      <c r="A379" t="str">
        <f>"2018-10-18 11:49:31"</f>
        <v>2018-10-18 11:49:31</v>
      </c>
      <c r="B379" s="1" t="str">
        <f>""</f>
        <v/>
      </c>
      <c r="C379" s="1" t="str">
        <f>"Club de judo Vallée du Richelieu"</f>
        <v>Club de judo Vallée du Richelieu</v>
      </c>
      <c r="D379" s="1" t="str">
        <f t="shared" si="44"/>
        <v>QC</v>
      </c>
      <c r="E379" s="1" t="str">
        <f t="shared" si="45"/>
        <v>Quebec</v>
      </c>
      <c r="F379" s="1" t="str">
        <f>"Hans"</f>
        <v>Hans</v>
      </c>
      <c r="G379" s="1" t="str">
        <f>"Fontaine"</f>
        <v>Fontaine</v>
      </c>
      <c r="H379" s="1" t="str">
        <f>"0189854"</f>
        <v>0189854</v>
      </c>
      <c r="I379" s="1" t="str">
        <f t="shared" si="42"/>
        <v>M</v>
      </c>
      <c r="J379" s="2">
        <v>2007</v>
      </c>
      <c r="K379" s="1" t="str">
        <f>"2k"</f>
        <v>2k</v>
      </c>
      <c r="L379" s="1" t="str">
        <f t="shared" si="33"/>
        <v>U14</v>
      </c>
      <c r="M379" s="1" t="str">
        <f t="shared" si="43"/>
        <v>-42</v>
      </c>
      <c r="N379" s="1" t="str">
        <f>""</f>
        <v/>
      </c>
      <c r="O379" s="1">
        <v>1</v>
      </c>
      <c r="P379" s="1"/>
      <c r="Q379" t="s">
        <v>256</v>
      </c>
    </row>
    <row r="380" spans="1:17" x14ac:dyDescent="0.25">
      <c r="A380" t="str">
        <f>"2018-10-03 15:05:52"</f>
        <v>2018-10-03 15:05:52</v>
      </c>
      <c r="B380" s="1" t="str">
        <f>""</f>
        <v/>
      </c>
      <c r="C380" s="1" t="str">
        <f>"Club de judo de la vieille capitale"</f>
        <v>Club de judo de la vieille capitale</v>
      </c>
      <c r="D380" s="1" t="str">
        <f t="shared" si="44"/>
        <v>QC</v>
      </c>
      <c r="E380" s="1" t="str">
        <f t="shared" si="45"/>
        <v>Quebec</v>
      </c>
      <c r="F380" s="1" t="str">
        <f>"Laurent"</f>
        <v>Laurent</v>
      </c>
      <c r="G380" s="1" t="str">
        <f>"Fraser"</f>
        <v>Fraser</v>
      </c>
      <c r="H380" s="1" t="str">
        <f>"0181006"</f>
        <v>0181006</v>
      </c>
      <c r="I380" s="1" t="str">
        <f t="shared" si="42"/>
        <v>M</v>
      </c>
      <c r="J380" s="2">
        <v>2006</v>
      </c>
      <c r="K380" s="1" t="str">
        <f>"2k"</f>
        <v>2k</v>
      </c>
      <c r="L380" s="1" t="str">
        <f t="shared" si="33"/>
        <v>U14</v>
      </c>
      <c r="M380" s="1" t="str">
        <f t="shared" si="43"/>
        <v>-42</v>
      </c>
      <c r="N380" s="1" t="str">
        <f>""</f>
        <v/>
      </c>
      <c r="O380" s="1">
        <v>1</v>
      </c>
      <c r="P380" s="1"/>
      <c r="Q380" t="s">
        <v>256</v>
      </c>
    </row>
    <row r="381" spans="1:17" x14ac:dyDescent="0.25">
      <c r="A381" t="str">
        <f>"2018-10-16 13:34:41"</f>
        <v>2018-10-16 13:34:41</v>
      </c>
      <c r="B381" s="1" t="str">
        <f>""</f>
        <v/>
      </c>
      <c r="C381" s="1" t="str">
        <f>"Club Judo Ben Inc."</f>
        <v>Club Judo Ben Inc.</v>
      </c>
      <c r="D381" s="1" t="str">
        <f t="shared" si="44"/>
        <v>QC</v>
      </c>
      <c r="E381" s="1" t="str">
        <f t="shared" si="45"/>
        <v>Quebec</v>
      </c>
      <c r="F381" s="1" t="str">
        <f>"Aymane"</f>
        <v>Aymane</v>
      </c>
      <c r="G381" s="1" t="str">
        <f>"Hadj Bachir"</f>
        <v>Hadj Bachir</v>
      </c>
      <c r="H381" s="1" t="str">
        <f>"0199934"</f>
        <v>0199934</v>
      </c>
      <c r="I381" s="1" t="str">
        <f t="shared" si="42"/>
        <v>M</v>
      </c>
      <c r="J381" s="2">
        <v>2006</v>
      </c>
      <c r="K381" s="1" t="str">
        <f>"3k"</f>
        <v>3k</v>
      </c>
      <c r="L381" s="1" t="str">
        <f t="shared" si="33"/>
        <v>U14</v>
      </c>
      <c r="M381" s="1" t="str">
        <f t="shared" si="43"/>
        <v>-42</v>
      </c>
      <c r="N381" s="1" t="str">
        <f>""</f>
        <v/>
      </c>
      <c r="O381" s="1">
        <v>1</v>
      </c>
      <c r="P381" s="1"/>
      <c r="Q381" t="s">
        <v>256</v>
      </c>
    </row>
    <row r="382" spans="1:17" x14ac:dyDescent="0.25">
      <c r="A382" t="str">
        <f>"2018-10-21 20:15:54"</f>
        <v>2018-10-21 20:15:54</v>
      </c>
      <c r="B382" s="1" t="str">
        <f>""</f>
        <v/>
      </c>
      <c r="C382" s="1" t="str">
        <f>"Arts martiaux Budokai inc."</f>
        <v>Arts martiaux Budokai inc.</v>
      </c>
      <c r="D382" s="1" t="str">
        <f t="shared" si="44"/>
        <v>QC</v>
      </c>
      <c r="E382" s="1" t="str">
        <f t="shared" si="45"/>
        <v>Quebec</v>
      </c>
      <c r="F382" s="1" t="str">
        <f>"Nikita"</f>
        <v>Nikita</v>
      </c>
      <c r="G382" s="1" t="str">
        <f>"Khibirtov"</f>
        <v>Khibirtov</v>
      </c>
      <c r="H382" s="1" t="str">
        <f>"0207590"</f>
        <v>0207590</v>
      </c>
      <c r="I382" s="1" t="str">
        <f t="shared" si="42"/>
        <v>M</v>
      </c>
      <c r="J382" s="2">
        <v>2006</v>
      </c>
      <c r="K382" s="1" t="str">
        <f>"3k"</f>
        <v>3k</v>
      </c>
      <c r="L382" s="1" t="str">
        <f t="shared" si="33"/>
        <v>U14</v>
      </c>
      <c r="M382" s="1" t="str">
        <f t="shared" si="43"/>
        <v>-42</v>
      </c>
      <c r="N382" s="1" t="str">
        <f>""</f>
        <v/>
      </c>
      <c r="O382" s="1">
        <v>1</v>
      </c>
      <c r="P382" s="1"/>
      <c r="Q382" t="s">
        <v>256</v>
      </c>
    </row>
    <row r="383" spans="1:17" x14ac:dyDescent="0.25">
      <c r="A383" t="str">
        <f>"2018-10-21 21:37:40"</f>
        <v>2018-10-21 21:37:40</v>
      </c>
      <c r="B383" s="1" t="str">
        <f>""</f>
        <v/>
      </c>
      <c r="C383" s="1" t="str">
        <f>"Dojo De Beauport"</f>
        <v>Dojo De Beauport</v>
      </c>
      <c r="D383" s="1" t="str">
        <f t="shared" si="44"/>
        <v>QC</v>
      </c>
      <c r="E383" s="1" t="str">
        <f t="shared" si="45"/>
        <v>Quebec</v>
      </c>
      <c r="F383" s="1" t="str">
        <f>"Victor"</f>
        <v>Victor</v>
      </c>
      <c r="G383" s="1" t="str">
        <f>"Laberge"</f>
        <v>Laberge</v>
      </c>
      <c r="H383" s="1" t="str">
        <f>"0207176"</f>
        <v>0207176</v>
      </c>
      <c r="I383" s="1" t="str">
        <f t="shared" si="42"/>
        <v>M</v>
      </c>
      <c r="J383" s="2">
        <v>2006</v>
      </c>
      <c r="K383" s="1" t="str">
        <f>"2k"</f>
        <v>2k</v>
      </c>
      <c r="L383" s="1" t="str">
        <f t="shared" si="33"/>
        <v>U14</v>
      </c>
      <c r="M383" s="1" t="str">
        <f t="shared" si="43"/>
        <v>-42</v>
      </c>
      <c r="N383" s="1" t="str">
        <f>""</f>
        <v/>
      </c>
      <c r="O383" s="1">
        <v>1</v>
      </c>
      <c r="P383" s="1"/>
      <c r="Q383" t="s">
        <v>256</v>
      </c>
    </row>
    <row r="384" spans="1:17" x14ac:dyDescent="0.25">
      <c r="A384" t="str">
        <f>"2018-10-07 13:28:43"</f>
        <v>2018-10-07 13:28:43</v>
      </c>
      <c r="B384" s="1" t="str">
        <f>""</f>
        <v/>
      </c>
      <c r="C384" s="1" t="str">
        <f>"Club de Judo Boucherville inc."</f>
        <v>Club de Judo Boucherville inc.</v>
      </c>
      <c r="D384" s="1" t="str">
        <f t="shared" si="44"/>
        <v>QC</v>
      </c>
      <c r="E384" s="1" t="str">
        <f t="shared" si="45"/>
        <v>Quebec</v>
      </c>
      <c r="F384" s="1" t="str">
        <f>"Luca"</f>
        <v>Luca</v>
      </c>
      <c r="G384" s="1" t="str">
        <f>"Nephtali"</f>
        <v>Nephtali</v>
      </c>
      <c r="H384" s="1" t="str">
        <f>"0177243"</f>
        <v>0177243</v>
      </c>
      <c r="I384" s="1" t="str">
        <f t="shared" si="42"/>
        <v>M</v>
      </c>
      <c r="J384" s="2">
        <v>2006</v>
      </c>
      <c r="K384" s="1" t="str">
        <f>"3k+"</f>
        <v>3k+</v>
      </c>
      <c r="L384" s="1" t="str">
        <f t="shared" si="33"/>
        <v>U14</v>
      </c>
      <c r="M384" s="1" t="str">
        <f t="shared" si="43"/>
        <v>-42</v>
      </c>
      <c r="N384" s="1" t="str">
        <f>""</f>
        <v/>
      </c>
      <c r="O384" s="1">
        <v>1</v>
      </c>
      <c r="P384" s="1"/>
      <c r="Q384" t="s">
        <v>256</v>
      </c>
    </row>
    <row r="385" spans="1:17" x14ac:dyDescent="0.25">
      <c r="A385" t="str">
        <f>"2018-10-07 13:28:43"</f>
        <v>2018-10-07 13:28:43</v>
      </c>
      <c r="B385" s="1" t="str">
        <f>""</f>
        <v/>
      </c>
      <c r="C385" s="1" t="str">
        <f>"Taifu Judo Club"</f>
        <v>Taifu Judo Club</v>
      </c>
      <c r="D385" s="1" t="str">
        <f>"ON"</f>
        <v>ON</v>
      </c>
      <c r="E385" s="8" t="str">
        <f>"Ontario"</f>
        <v>Ontario</v>
      </c>
      <c r="F385" s="1" t="str">
        <f>"Artem"</f>
        <v>Artem</v>
      </c>
      <c r="G385" s="1" t="str">
        <f>"Neyolov"</f>
        <v>Neyolov</v>
      </c>
      <c r="H385" s="1" t="str">
        <f>"0193583"</f>
        <v>0193583</v>
      </c>
      <c r="I385" s="1" t="str">
        <f t="shared" si="42"/>
        <v>M</v>
      </c>
      <c r="J385" s="2">
        <v>2006</v>
      </c>
      <c r="K385" s="1" t="str">
        <f t="shared" ref="K385:K390" si="46">"3k"</f>
        <v>3k</v>
      </c>
      <c r="L385" s="1" t="str">
        <f t="shared" si="33"/>
        <v>U14</v>
      </c>
      <c r="M385" s="1" t="str">
        <f t="shared" si="43"/>
        <v>-42</v>
      </c>
      <c r="N385" s="1" t="str">
        <f>""</f>
        <v/>
      </c>
      <c r="O385" s="1">
        <v>1</v>
      </c>
      <c r="P385" s="1"/>
      <c r="Q385" t="s">
        <v>256</v>
      </c>
    </row>
    <row r="386" spans="1:17" x14ac:dyDescent="0.25">
      <c r="A386" t="str">
        <f>"2018-10-18 21:54:53"</f>
        <v>2018-10-18 21:54:53</v>
      </c>
      <c r="B386" s="1" t="str">
        <f>""</f>
        <v/>
      </c>
      <c r="C386" s="1" t="str">
        <f>"Taifu Judo Club"</f>
        <v>Taifu Judo Club</v>
      </c>
      <c r="D386" s="1" t="str">
        <f>"ON"</f>
        <v>ON</v>
      </c>
      <c r="E386" s="1" t="str">
        <f>"Ontario"</f>
        <v>Ontario</v>
      </c>
      <c r="F386" s="1" t="str">
        <f>"Denis"</f>
        <v>Denis</v>
      </c>
      <c r="G386" s="1" t="str">
        <f>"Neyolov"</f>
        <v>Neyolov</v>
      </c>
      <c r="H386" s="1" t="str">
        <f>"0192343"</f>
        <v>0192343</v>
      </c>
      <c r="I386" s="1" t="str">
        <f t="shared" si="42"/>
        <v>M</v>
      </c>
      <c r="J386" s="2">
        <v>2006</v>
      </c>
      <c r="K386" s="1" t="str">
        <f t="shared" si="46"/>
        <v>3k</v>
      </c>
      <c r="L386" s="1" t="str">
        <f t="shared" si="33"/>
        <v>U14</v>
      </c>
      <c r="M386" s="1" t="str">
        <f t="shared" si="43"/>
        <v>-42</v>
      </c>
      <c r="N386" s="1" t="str">
        <f>""</f>
        <v/>
      </c>
      <c r="O386" s="1">
        <v>1</v>
      </c>
      <c r="P386" s="1"/>
      <c r="Q386" t="s">
        <v>256</v>
      </c>
    </row>
    <row r="387" spans="1:17" x14ac:dyDescent="0.25">
      <c r="A387" t="str">
        <f>"2018-10-16 22:39:05"</f>
        <v>2018-10-16 22:39:05</v>
      </c>
      <c r="B387" s="1" t="str">
        <f>""</f>
        <v/>
      </c>
      <c r="C387" s="1" t="str">
        <f>"Club de judo St-Jean Bosco de Hull"</f>
        <v>Club de judo St-Jean Bosco de Hull</v>
      </c>
      <c r="D387" s="1" t="str">
        <f>"QC"</f>
        <v>QC</v>
      </c>
      <c r="E387" s="1" t="str">
        <f>"Quebec"</f>
        <v>Quebec</v>
      </c>
      <c r="F387" s="1" t="str">
        <f>"Zachary"</f>
        <v>Zachary</v>
      </c>
      <c r="G387" s="1" t="str">
        <f>"Raymond"</f>
        <v>Raymond</v>
      </c>
      <c r="H387" s="1" t="str">
        <f>"0180033"</f>
        <v>0180033</v>
      </c>
      <c r="I387" s="1" t="str">
        <f t="shared" si="42"/>
        <v>M</v>
      </c>
      <c r="J387" s="2">
        <v>2006</v>
      </c>
      <c r="K387" s="1" t="str">
        <f t="shared" si="46"/>
        <v>3k</v>
      </c>
      <c r="L387" s="1" t="str">
        <f t="shared" si="33"/>
        <v>U14</v>
      </c>
      <c r="M387" s="1" t="str">
        <f t="shared" si="43"/>
        <v>-42</v>
      </c>
      <c r="N387" s="1" t="str">
        <f>""</f>
        <v/>
      </c>
      <c r="O387" s="1">
        <v>1</v>
      </c>
      <c r="P387" s="1"/>
      <c r="Q387" t="s">
        <v>256</v>
      </c>
    </row>
    <row r="388" spans="1:17" x14ac:dyDescent="0.25">
      <c r="A388" t="str">
        <f>"2018-10-14 14:04:40"</f>
        <v>2018-10-14 14:04:40</v>
      </c>
      <c r="B388" s="1" t="str">
        <f>""</f>
        <v/>
      </c>
      <c r="C388" s="1" t="str">
        <f>"Tani Koi Judo Club"</f>
        <v>Tani Koi Judo Club</v>
      </c>
      <c r="D388" s="1" t="str">
        <f>"NB"</f>
        <v>NB</v>
      </c>
      <c r="E388" s="1" t="str">
        <f>"New Brunswick"</f>
        <v>New Brunswick</v>
      </c>
      <c r="F388" s="1" t="str">
        <f>"Aidan"</f>
        <v>Aidan</v>
      </c>
      <c r="G388" s="1" t="str">
        <f>"Tait"</f>
        <v>Tait</v>
      </c>
      <c r="H388" s="1" t="str">
        <f>"0197802"</f>
        <v>0197802</v>
      </c>
      <c r="I388" s="1" t="str">
        <f t="shared" si="42"/>
        <v>M</v>
      </c>
      <c r="J388" s="2">
        <v>2006</v>
      </c>
      <c r="K388" s="1" t="str">
        <f t="shared" si="46"/>
        <v>3k</v>
      </c>
      <c r="L388" s="1" t="str">
        <f t="shared" ref="L388:L438" si="47">"U14"</f>
        <v>U14</v>
      </c>
      <c r="M388" s="8">
        <v>-42</v>
      </c>
      <c r="N388" s="1" t="str">
        <f>""</f>
        <v/>
      </c>
      <c r="O388" s="1">
        <v>1</v>
      </c>
      <c r="P388" s="1"/>
      <c r="Q388" t="s">
        <v>256</v>
      </c>
    </row>
    <row r="389" spans="1:17" x14ac:dyDescent="0.25">
      <c r="A389" t="str">
        <f>"2018-10-03 15:05:52"</f>
        <v>2018-10-03 15:05:52</v>
      </c>
      <c r="B389" s="1" t="str">
        <f>""</f>
        <v/>
      </c>
      <c r="C389" s="1" t="str">
        <f>"Taifu Judo Club"</f>
        <v>Taifu Judo Club</v>
      </c>
      <c r="D389" s="1" t="str">
        <f>"ON"</f>
        <v>ON</v>
      </c>
      <c r="E389" s="1" t="str">
        <f>"Ontario"</f>
        <v>Ontario</v>
      </c>
      <c r="F389" s="1" t="str">
        <f>"Alex"</f>
        <v>Alex</v>
      </c>
      <c r="G389" s="1" t="str">
        <f>"Udebashvili"</f>
        <v>Udebashvili</v>
      </c>
      <c r="H389" s="1" t="str">
        <f>"0192351"</f>
        <v>0192351</v>
      </c>
      <c r="I389" s="1" t="str">
        <f t="shared" si="42"/>
        <v>M</v>
      </c>
      <c r="J389" s="2">
        <v>2007</v>
      </c>
      <c r="K389" s="1" t="str">
        <f t="shared" si="46"/>
        <v>3k</v>
      </c>
      <c r="L389" s="1" t="str">
        <f t="shared" si="47"/>
        <v>U14</v>
      </c>
      <c r="M389" s="1" t="str">
        <f>"-42"</f>
        <v>-42</v>
      </c>
      <c r="N389" s="1" t="str">
        <f>""</f>
        <v/>
      </c>
      <c r="O389" s="1">
        <v>1</v>
      </c>
      <c r="P389" s="1"/>
      <c r="Q389" t="s">
        <v>256</v>
      </c>
    </row>
    <row r="390" spans="1:17" x14ac:dyDescent="0.25">
      <c r="A390" t="str">
        <f>"2018-10-09 06:42:02"</f>
        <v>2018-10-09 06:42:02</v>
      </c>
      <c r="B390" s="1" t="str">
        <f>""</f>
        <v/>
      </c>
      <c r="C390" s="1" t="str">
        <f>"Paineiras do Morumby"</f>
        <v>Paineiras do Morumby</v>
      </c>
      <c r="D390" s="1" t="s">
        <v>164</v>
      </c>
      <c r="E390" s="1" t="str">
        <f>"Brazil"</f>
        <v>Brazil</v>
      </c>
      <c r="F390" s="1" t="str">
        <f>"Carolina"</f>
        <v>Carolina</v>
      </c>
      <c r="G390" s="1" t="str">
        <f>"Cocco"</f>
        <v>Cocco</v>
      </c>
      <c r="H390" s="1" t="str">
        <f>"AutreFederation"</f>
        <v>AutreFederation</v>
      </c>
      <c r="I390" s="1" t="str">
        <f t="shared" ref="I390:I397" si="48">"F"</f>
        <v>F</v>
      </c>
      <c r="J390" s="2">
        <v>2006</v>
      </c>
      <c r="K390" s="1" t="str">
        <f t="shared" si="46"/>
        <v>3k</v>
      </c>
      <c r="L390" s="1" t="str">
        <f t="shared" si="47"/>
        <v>U14</v>
      </c>
      <c r="M390" s="1" t="str">
        <f t="shared" ref="M390:M397" si="49">"-44"</f>
        <v>-44</v>
      </c>
      <c r="N390" s="1" t="str">
        <f>""</f>
        <v/>
      </c>
      <c r="O390" s="1">
        <v>1</v>
      </c>
      <c r="P390" s="1"/>
      <c r="Q390" t="s">
        <v>257</v>
      </c>
    </row>
    <row r="391" spans="1:17" x14ac:dyDescent="0.25">
      <c r="A391" t="str">
        <f>"2018-09-28 12:57:27"</f>
        <v>2018-09-28 12:57:27</v>
      </c>
      <c r="B391" s="1" t="str">
        <f>""</f>
        <v/>
      </c>
      <c r="C391" s="1" t="str">
        <f>"Club judokas Jonquière inc."</f>
        <v>Club judokas Jonquière inc.</v>
      </c>
      <c r="D391" s="1" t="str">
        <f>"QC"</f>
        <v>QC</v>
      </c>
      <c r="E391" s="1" t="str">
        <f>"Quebec"</f>
        <v>Quebec</v>
      </c>
      <c r="F391" s="1" t="str">
        <f>"Aurelie"</f>
        <v>Aurelie</v>
      </c>
      <c r="G391" s="1" t="str">
        <f>"Cote"</f>
        <v>Cote</v>
      </c>
      <c r="H391" s="1" t="str">
        <f>"0192133"</f>
        <v>0192133</v>
      </c>
      <c r="I391" s="1" t="str">
        <f t="shared" si="48"/>
        <v>F</v>
      </c>
      <c r="J391" s="2">
        <v>2006</v>
      </c>
      <c r="K391" s="1" t="str">
        <f>"3k+"</f>
        <v>3k+</v>
      </c>
      <c r="L391" s="1" t="str">
        <f t="shared" si="47"/>
        <v>U14</v>
      </c>
      <c r="M391" s="1" t="str">
        <f t="shared" si="49"/>
        <v>-44</v>
      </c>
      <c r="N391" s="1" t="str">
        <f>""</f>
        <v/>
      </c>
      <c r="O391" s="1">
        <v>1</v>
      </c>
      <c r="P391" s="1"/>
      <c r="Q391" t="s">
        <v>257</v>
      </c>
    </row>
    <row r="392" spans="1:17" x14ac:dyDescent="0.25">
      <c r="A392" t="str">
        <f>"2018-09-28 12:57:27"</f>
        <v>2018-09-28 12:57:27</v>
      </c>
      <c r="B392" s="1" t="str">
        <f>""</f>
        <v/>
      </c>
      <c r="C392" s="1" t="str">
        <f>"Club de Judo d'Asbestos-Danville"</f>
        <v>Club de Judo d'Asbestos-Danville</v>
      </c>
      <c r="D392" s="1" t="str">
        <f>"QC"</f>
        <v>QC</v>
      </c>
      <c r="E392" s="1" t="str">
        <f>"Quebec"</f>
        <v>Quebec</v>
      </c>
      <c r="F392" s="1" t="str">
        <f>"Leanne"</f>
        <v>Leanne</v>
      </c>
      <c r="G392" s="1" t="str">
        <f>"Dussault"</f>
        <v>Dussault</v>
      </c>
      <c r="H392" s="1" t="str">
        <f>"0189104"</f>
        <v>0189104</v>
      </c>
      <c r="I392" s="1" t="str">
        <f t="shared" si="48"/>
        <v>F</v>
      </c>
      <c r="J392" s="2">
        <v>2006</v>
      </c>
      <c r="K392" s="1" t="str">
        <f>"3k"</f>
        <v>3k</v>
      </c>
      <c r="L392" s="1" t="str">
        <f t="shared" si="47"/>
        <v>U14</v>
      </c>
      <c r="M392" s="1" t="str">
        <f t="shared" si="49"/>
        <v>-44</v>
      </c>
      <c r="N392" s="1" t="str">
        <f>""</f>
        <v/>
      </c>
      <c r="O392" s="1">
        <v>1</v>
      </c>
      <c r="P392" s="1"/>
      <c r="Q392" t="s">
        <v>257</v>
      </c>
    </row>
    <row r="393" spans="1:17" x14ac:dyDescent="0.25">
      <c r="A393" t="str">
        <f>"2018-10-21 18:15:10"</f>
        <v>2018-10-21 18:15:10</v>
      </c>
      <c r="B393" s="1" t="str">
        <f>""</f>
        <v/>
      </c>
      <c r="C393" s="1" t="str">
        <f>"Club judokas Jonquière inc."</f>
        <v>Club judokas Jonquière inc.</v>
      </c>
      <c r="D393" s="1" t="str">
        <f>"QC"</f>
        <v>QC</v>
      </c>
      <c r="E393" s="1" t="str">
        <f>"Quebec"</f>
        <v>Quebec</v>
      </c>
      <c r="F393" s="1" t="str">
        <f>"Laurence"</f>
        <v>Laurence</v>
      </c>
      <c r="G393" s="1" t="str">
        <f>"Gagnon"</f>
        <v>Gagnon</v>
      </c>
      <c r="H393" s="1" t="str">
        <f>"0207175"</f>
        <v>0207175</v>
      </c>
      <c r="I393" s="1" t="str">
        <f t="shared" si="48"/>
        <v>F</v>
      </c>
      <c r="J393" s="2">
        <v>2006</v>
      </c>
      <c r="K393" s="1" t="str">
        <f>"3k+"</f>
        <v>3k+</v>
      </c>
      <c r="L393" s="1" t="str">
        <f t="shared" si="47"/>
        <v>U14</v>
      </c>
      <c r="M393" s="1" t="str">
        <f t="shared" si="49"/>
        <v>-44</v>
      </c>
      <c r="N393" s="1" t="str">
        <f>""</f>
        <v/>
      </c>
      <c r="O393" s="1">
        <v>1</v>
      </c>
      <c r="P393" s="1"/>
      <c r="Q393" t="s">
        <v>257</v>
      </c>
    </row>
    <row r="394" spans="1:17" x14ac:dyDescent="0.25">
      <c r="A394" t="str">
        <f>"2018-09-27 10:27:27"</f>
        <v>2018-09-27 10:27:27</v>
      </c>
      <c r="B394" s="1" t="str">
        <f>""</f>
        <v/>
      </c>
      <c r="C394" s="1" t="str">
        <f>"Regina Y"</f>
        <v>Regina Y</v>
      </c>
      <c r="D394" s="1" t="str">
        <f>"SK"</f>
        <v>SK</v>
      </c>
      <c r="E394" s="1" t="str">
        <f>"Saskatchewan"</f>
        <v>Saskatchewan</v>
      </c>
      <c r="F394" s="1" t="str">
        <f>"Leann"</f>
        <v>Leann</v>
      </c>
      <c r="G394" s="1" t="str">
        <f>"Huang"</f>
        <v>Huang</v>
      </c>
      <c r="H394" s="1" t="str">
        <f>"0210568"</f>
        <v>0210568</v>
      </c>
      <c r="I394" s="1" t="str">
        <f t="shared" si="48"/>
        <v>F</v>
      </c>
      <c r="J394" s="2">
        <v>2006</v>
      </c>
      <c r="K394" s="1" t="str">
        <f t="shared" ref="K394:K399" si="50">"3k"</f>
        <v>3k</v>
      </c>
      <c r="L394" s="1" t="str">
        <f t="shared" si="47"/>
        <v>U14</v>
      </c>
      <c r="M394" s="1" t="str">
        <f t="shared" si="49"/>
        <v>-44</v>
      </c>
      <c r="N394" s="1" t="str">
        <f>""</f>
        <v/>
      </c>
      <c r="O394" s="1">
        <v>1</v>
      </c>
      <c r="P394" s="1"/>
      <c r="Q394" t="s">
        <v>257</v>
      </c>
    </row>
    <row r="395" spans="1:17" x14ac:dyDescent="0.25">
      <c r="A395" t="str">
        <f>"2018-10-21 18:15:10"</f>
        <v>2018-10-21 18:15:10</v>
      </c>
      <c r="B395" s="1" t="str">
        <f>""</f>
        <v/>
      </c>
      <c r="C395" s="1" t="str">
        <f>"Pense Judo Club"</f>
        <v>Pense Judo Club</v>
      </c>
      <c r="D395" s="1" t="str">
        <f>"SK"</f>
        <v>SK</v>
      </c>
      <c r="E395" s="1" t="str">
        <f>"Saskatchewan"</f>
        <v>Saskatchewan</v>
      </c>
      <c r="F395" s="1" t="str">
        <f>"Victoria"</f>
        <v>Victoria</v>
      </c>
      <c r="G395" s="1" t="str">
        <f>"Kehrig"</f>
        <v>Kehrig</v>
      </c>
      <c r="H395" s="1" t="str">
        <f>"0181606"</f>
        <v>0181606</v>
      </c>
      <c r="I395" s="1" t="str">
        <f t="shared" si="48"/>
        <v>F</v>
      </c>
      <c r="J395" s="2">
        <v>2006</v>
      </c>
      <c r="K395" s="1" t="str">
        <f t="shared" si="50"/>
        <v>3k</v>
      </c>
      <c r="L395" s="1" t="str">
        <f t="shared" si="47"/>
        <v>U14</v>
      </c>
      <c r="M395" s="1" t="str">
        <f t="shared" si="49"/>
        <v>-44</v>
      </c>
      <c r="N395" s="1" t="str">
        <f>""</f>
        <v/>
      </c>
      <c r="O395" s="1">
        <v>1</v>
      </c>
      <c r="P395" s="1"/>
      <c r="Q395" t="s">
        <v>257</v>
      </c>
    </row>
    <row r="396" spans="1:17" x14ac:dyDescent="0.25">
      <c r="A396" t="str">
        <f>"2018-10-16 15:35:00"</f>
        <v>2018-10-16 15:35:00</v>
      </c>
      <c r="B396" s="1" t="str">
        <f>""</f>
        <v/>
      </c>
      <c r="C396" s="1" t="str">
        <f>"Challenge Sports Club"</f>
        <v>Challenge Sports Club</v>
      </c>
      <c r="D396" s="1" t="str">
        <f>"ON"</f>
        <v>ON</v>
      </c>
      <c r="E396" s="1" t="str">
        <f>"Ontario"</f>
        <v>Ontario</v>
      </c>
      <c r="F396" s="1" t="str">
        <f>"Nicole"</f>
        <v>Nicole</v>
      </c>
      <c r="G396" s="1" t="str">
        <f>"Ratskovich"</f>
        <v>Ratskovich</v>
      </c>
      <c r="H396" s="1" t="str">
        <f>"0201894"</f>
        <v>0201894</v>
      </c>
      <c r="I396" s="1" t="str">
        <f t="shared" si="48"/>
        <v>F</v>
      </c>
      <c r="J396" s="2">
        <v>2007</v>
      </c>
      <c r="K396" s="1" t="str">
        <f t="shared" si="50"/>
        <v>3k</v>
      </c>
      <c r="L396" s="1" t="str">
        <f t="shared" si="47"/>
        <v>U14</v>
      </c>
      <c r="M396" s="1" t="str">
        <f t="shared" si="49"/>
        <v>-44</v>
      </c>
      <c r="N396" s="1" t="str">
        <f>""</f>
        <v/>
      </c>
      <c r="O396" s="1">
        <v>1</v>
      </c>
      <c r="P396" s="1"/>
      <c r="Q396" t="s">
        <v>257</v>
      </c>
    </row>
    <row r="397" spans="1:17" x14ac:dyDescent="0.25">
      <c r="A397" t="str">
        <f>"2018-10-02 13:14:33"</f>
        <v>2018-10-02 13:14:33</v>
      </c>
      <c r="B397" s="1" t="str">
        <f>""</f>
        <v/>
      </c>
      <c r="C397" s="1" t="str">
        <f>"Judo Otoshi Dieppe"</f>
        <v>Judo Otoshi Dieppe</v>
      </c>
      <c r="D397" s="1" t="str">
        <f>"NB"</f>
        <v>NB</v>
      </c>
      <c r="E397" s="1" t="str">
        <f>"New Brunswick"</f>
        <v>New Brunswick</v>
      </c>
      <c r="F397" s="1" t="str">
        <f>"Shanie"</f>
        <v>Shanie</v>
      </c>
      <c r="G397" s="1" t="str">
        <f>"Robinson"</f>
        <v>Robinson</v>
      </c>
      <c r="H397" s="1" t="str">
        <f>"0201138"</f>
        <v>0201138</v>
      </c>
      <c r="I397" s="1" t="str">
        <f t="shared" si="48"/>
        <v>F</v>
      </c>
      <c r="J397" s="2">
        <v>2006</v>
      </c>
      <c r="K397" s="1" t="str">
        <f t="shared" si="50"/>
        <v>3k</v>
      </c>
      <c r="L397" s="1" t="str">
        <f t="shared" si="47"/>
        <v>U14</v>
      </c>
      <c r="M397" s="1" t="str">
        <f t="shared" si="49"/>
        <v>-44</v>
      </c>
      <c r="N397" s="1" t="str">
        <f>""</f>
        <v/>
      </c>
      <c r="O397" s="1">
        <v>1</v>
      </c>
      <c r="P397" s="1"/>
      <c r="Q397" t="s">
        <v>257</v>
      </c>
    </row>
    <row r="398" spans="1:17" x14ac:dyDescent="0.25">
      <c r="A398" t="str">
        <f>"2018-09-25 11:20:06"</f>
        <v>2018-09-25 11:20:06</v>
      </c>
      <c r="B398" s="1" t="str">
        <f>""</f>
        <v/>
      </c>
      <c r="C398" s="1" t="str">
        <f>"Budokan Saint-Laurent"</f>
        <v>Budokan Saint-Laurent</v>
      </c>
      <c r="D398" s="1" t="str">
        <f>"QC"</f>
        <v>QC</v>
      </c>
      <c r="E398" s="1" t="str">
        <f>"Quebec"</f>
        <v>Quebec</v>
      </c>
      <c r="F398" s="1" t="str">
        <f>"Adam"</f>
        <v>Adam</v>
      </c>
      <c r="G398" s="1" t="str">
        <f>"Alaoui Yazidi"</f>
        <v>Alaoui Yazidi</v>
      </c>
      <c r="H398" s="1" t="str">
        <f>"0188082"</f>
        <v>0188082</v>
      </c>
      <c r="I398" s="1" t="str">
        <f t="shared" ref="I398:I408" si="51">"M"</f>
        <v>M</v>
      </c>
      <c r="J398" s="2">
        <v>2006</v>
      </c>
      <c r="K398" s="1" t="str">
        <f t="shared" si="50"/>
        <v>3k</v>
      </c>
      <c r="L398" s="1" t="str">
        <f t="shared" si="47"/>
        <v>U14</v>
      </c>
      <c r="M398" s="1" t="str">
        <f t="shared" ref="M398:M408" si="52">"-46"</f>
        <v>-46</v>
      </c>
      <c r="N398" s="1" t="str">
        <f>""</f>
        <v/>
      </c>
      <c r="O398" s="1">
        <v>1</v>
      </c>
      <c r="P398" s="1"/>
      <c r="Q398" t="s">
        <v>258</v>
      </c>
    </row>
    <row r="399" spans="1:17" x14ac:dyDescent="0.25">
      <c r="A399" t="str">
        <f>"2018-09-25 11:20:06"</f>
        <v>2018-09-25 11:20:06</v>
      </c>
      <c r="B399" s="1" t="str">
        <f>""</f>
        <v/>
      </c>
      <c r="C399" s="1" t="str">
        <f>"Club de judo de la vieille capitale"</f>
        <v>Club de judo de la vieille capitale</v>
      </c>
      <c r="D399" s="1" t="str">
        <f>"QC"</f>
        <v>QC</v>
      </c>
      <c r="E399" s="1" t="str">
        <f>"Quebec"</f>
        <v>Quebec</v>
      </c>
      <c r="F399" s="1" t="str">
        <f>"Adrien"</f>
        <v>Adrien</v>
      </c>
      <c r="G399" s="1" t="str">
        <f>"Ampleman"</f>
        <v>Ampleman</v>
      </c>
      <c r="H399" s="1" t="str">
        <f>"0198064"</f>
        <v>0198064</v>
      </c>
      <c r="I399" s="1" t="str">
        <f t="shared" si="51"/>
        <v>M</v>
      </c>
      <c r="J399" s="2">
        <v>2006</v>
      </c>
      <c r="K399" s="1" t="str">
        <f t="shared" si="50"/>
        <v>3k</v>
      </c>
      <c r="L399" s="1" t="str">
        <f t="shared" si="47"/>
        <v>U14</v>
      </c>
      <c r="M399" s="1" t="str">
        <f t="shared" si="52"/>
        <v>-46</v>
      </c>
      <c r="N399" s="1" t="str">
        <f>""</f>
        <v/>
      </c>
      <c r="O399" s="1">
        <v>1</v>
      </c>
      <c r="P399" s="1"/>
      <c r="Q399" t="s">
        <v>258</v>
      </c>
    </row>
    <row r="400" spans="1:17" x14ac:dyDescent="0.25">
      <c r="B400" s="1" t="str">
        <f>""</f>
        <v/>
      </c>
      <c r="C400" s="1" t="str">
        <f>"Club de judo Torakai"</f>
        <v>Club de judo Torakai</v>
      </c>
      <c r="D400" s="1" t="str">
        <f>"QC"</f>
        <v>QC</v>
      </c>
      <c r="E400" s="1" t="str">
        <f>"Quebec"</f>
        <v>Quebec</v>
      </c>
      <c r="F400" s="1" t="str">
        <f>"Noah"</f>
        <v>Noah</v>
      </c>
      <c r="G400" s="1" t="str">
        <f>"Dion"</f>
        <v>Dion</v>
      </c>
      <c r="H400" s="1" t="str">
        <f>"0199352"</f>
        <v>0199352</v>
      </c>
      <c r="I400" s="1" t="str">
        <f t="shared" si="51"/>
        <v>M</v>
      </c>
      <c r="J400" s="1">
        <v>2007</v>
      </c>
      <c r="K400" s="1" t="s">
        <v>73</v>
      </c>
      <c r="L400" s="1" t="str">
        <f t="shared" si="47"/>
        <v>U14</v>
      </c>
      <c r="M400" s="1" t="str">
        <f t="shared" si="52"/>
        <v>-46</v>
      </c>
      <c r="N400" s="1" t="str">
        <f>""</f>
        <v/>
      </c>
      <c r="O400" s="1"/>
      <c r="P400" s="1"/>
      <c r="Q400" t="s">
        <v>258</v>
      </c>
    </row>
    <row r="401" spans="1:17" x14ac:dyDescent="0.25">
      <c r="A401" t="str">
        <f>"2018-10-14 12:30:44"</f>
        <v>2018-10-14 12:30:44</v>
      </c>
      <c r="B401" s="1" t="str">
        <f>""</f>
        <v/>
      </c>
      <c r="C401" s="1" t="str">
        <f>"Pense Judo Club"</f>
        <v>Pense Judo Club</v>
      </c>
      <c r="D401" s="1" t="str">
        <f>"SK"</f>
        <v>SK</v>
      </c>
      <c r="E401" s="1" t="str">
        <f>"Saskatchewan"</f>
        <v>Saskatchewan</v>
      </c>
      <c r="F401" s="1" t="str">
        <f>"Harmen"</f>
        <v>Harmen</v>
      </c>
      <c r="G401" s="1" t="str">
        <f>"Haase"</f>
        <v>Haase</v>
      </c>
      <c r="H401" s="1" t="str">
        <f>"0189356"</f>
        <v>0189356</v>
      </c>
      <c r="I401" s="1" t="str">
        <f t="shared" si="51"/>
        <v>M</v>
      </c>
      <c r="J401" s="2">
        <v>2006</v>
      </c>
      <c r="K401" s="1" t="str">
        <f>"3k"</f>
        <v>3k</v>
      </c>
      <c r="L401" s="1" t="str">
        <f t="shared" si="47"/>
        <v>U14</v>
      </c>
      <c r="M401" s="1" t="str">
        <f t="shared" si="52"/>
        <v>-46</v>
      </c>
      <c r="N401" s="1" t="str">
        <f>""</f>
        <v/>
      </c>
      <c r="O401" s="1">
        <v>1</v>
      </c>
      <c r="P401" s="1"/>
      <c r="Q401" t="s">
        <v>258</v>
      </c>
    </row>
    <row r="402" spans="1:17" x14ac:dyDescent="0.25">
      <c r="B402" s="1" t="str">
        <f>""</f>
        <v/>
      </c>
      <c r="C402" s="1" t="str">
        <f>"Club de judo Torakai"</f>
        <v>Club de judo Torakai</v>
      </c>
      <c r="D402" s="1" t="str">
        <f>"QC"</f>
        <v>QC</v>
      </c>
      <c r="E402" s="1" t="str">
        <f>"Quebec"</f>
        <v>Quebec</v>
      </c>
      <c r="F402" s="1" t="str">
        <f>"Jonthan"</f>
        <v>Jonthan</v>
      </c>
      <c r="G402" s="1" t="str">
        <f>"Hachiya-Collette"</f>
        <v>Hachiya-Collette</v>
      </c>
      <c r="H402" s="1" t="str">
        <f>"0221558"</f>
        <v>0221558</v>
      </c>
      <c r="I402" s="1" t="str">
        <f t="shared" si="51"/>
        <v>M</v>
      </c>
      <c r="J402" s="1">
        <v>2007</v>
      </c>
      <c r="K402" s="1" t="s">
        <v>73</v>
      </c>
      <c r="L402" s="1" t="str">
        <f t="shared" si="47"/>
        <v>U14</v>
      </c>
      <c r="M402" s="1" t="str">
        <f t="shared" si="52"/>
        <v>-46</v>
      </c>
      <c r="N402" s="1" t="str">
        <f>""</f>
        <v/>
      </c>
      <c r="O402" s="1"/>
      <c r="P402" s="1"/>
      <c r="Q402" t="s">
        <v>258</v>
      </c>
    </row>
    <row r="403" spans="1:17" x14ac:dyDescent="0.25">
      <c r="A403" t="str">
        <f>"2018-10-17 16:42:59"</f>
        <v>2018-10-17 16:42:59</v>
      </c>
      <c r="B403" s="1" t="str">
        <f>""</f>
        <v/>
      </c>
      <c r="C403" s="1" t="str">
        <f>"Paineiras do Morumby"</f>
        <v>Paineiras do Morumby</v>
      </c>
      <c r="D403" s="1" t="s">
        <v>164</v>
      </c>
      <c r="E403" s="1" t="str">
        <f>"Brazil"</f>
        <v>Brazil</v>
      </c>
      <c r="F403" s="1" t="str">
        <f>"Jibran"</f>
        <v>Jibran</v>
      </c>
      <c r="G403" s="1" t="str">
        <f>"Hsieh"</f>
        <v>Hsieh</v>
      </c>
      <c r="H403" s="1" t="str">
        <f>"AutreFederation"</f>
        <v>AutreFederation</v>
      </c>
      <c r="I403" s="1" t="str">
        <f t="shared" si="51"/>
        <v>M</v>
      </c>
      <c r="J403" s="2">
        <v>2006</v>
      </c>
      <c r="K403" s="1" t="str">
        <f>"3k"</f>
        <v>3k</v>
      </c>
      <c r="L403" s="1" t="str">
        <f t="shared" si="47"/>
        <v>U14</v>
      </c>
      <c r="M403" s="1" t="str">
        <f t="shared" si="52"/>
        <v>-46</v>
      </c>
      <c r="N403" s="1" t="str">
        <f>""</f>
        <v/>
      </c>
      <c r="O403" s="1">
        <v>1</v>
      </c>
      <c r="P403" s="1"/>
      <c r="Q403" t="s">
        <v>258</v>
      </c>
    </row>
    <row r="404" spans="1:17" x14ac:dyDescent="0.25">
      <c r="A404" t="str">
        <f>"2018-10-19 16:50:32"</f>
        <v>2018-10-19 16:50:32</v>
      </c>
      <c r="B404" s="1" t="str">
        <f>""</f>
        <v/>
      </c>
      <c r="C404" s="1" t="str">
        <f>"Judo Blainville"</f>
        <v>Judo Blainville</v>
      </c>
      <c r="D404" s="1" t="str">
        <f>"QC"</f>
        <v>QC</v>
      </c>
      <c r="E404" s="1" t="str">
        <f>"Quebec"</f>
        <v>Quebec</v>
      </c>
      <c r="F404" s="1" t="str">
        <f>"Olivier"</f>
        <v>Olivier</v>
      </c>
      <c r="G404" s="1" t="str">
        <f>"Lanouette"</f>
        <v>Lanouette</v>
      </c>
      <c r="H404" s="1" t="str">
        <f>"0206690"</f>
        <v>0206690</v>
      </c>
      <c r="I404" s="1" t="str">
        <f t="shared" si="51"/>
        <v>M</v>
      </c>
      <c r="J404" s="2">
        <v>2006</v>
      </c>
      <c r="K404" s="1" t="str">
        <f>"3k+"</f>
        <v>3k+</v>
      </c>
      <c r="L404" s="1" t="str">
        <f t="shared" si="47"/>
        <v>U14</v>
      </c>
      <c r="M404" s="1" t="str">
        <f t="shared" si="52"/>
        <v>-46</v>
      </c>
      <c r="N404" s="1" t="str">
        <f>""</f>
        <v/>
      </c>
      <c r="O404" s="1">
        <v>1</v>
      </c>
      <c r="P404" s="1"/>
      <c r="Q404" t="s">
        <v>258</v>
      </c>
    </row>
    <row r="405" spans="1:17" x14ac:dyDescent="0.25">
      <c r="A405" t="str">
        <f>"2018-10-18 13:01:06"</f>
        <v>2018-10-18 13:01:06</v>
      </c>
      <c r="B405" s="1" t="str">
        <f>""</f>
        <v/>
      </c>
      <c r="C405" s="1" t="str">
        <f>"Judo-La Pocatiere"</f>
        <v>Judo-La Pocatiere</v>
      </c>
      <c r="D405" s="1" t="str">
        <f>"QC"</f>
        <v>QC</v>
      </c>
      <c r="E405" s="1" t="str">
        <f>"Quebec"</f>
        <v>Quebec</v>
      </c>
      <c r="F405" s="1" t="str">
        <f>"Justin"</f>
        <v>Justin</v>
      </c>
      <c r="G405" s="1" t="str">
        <f>"Lizotte"</f>
        <v>Lizotte</v>
      </c>
      <c r="H405" s="1" t="str">
        <f>"0207160"</f>
        <v>0207160</v>
      </c>
      <c r="I405" s="1" t="str">
        <f t="shared" si="51"/>
        <v>M</v>
      </c>
      <c r="J405" s="2">
        <v>2006</v>
      </c>
      <c r="K405" s="1" t="str">
        <f>"3k"</f>
        <v>3k</v>
      </c>
      <c r="L405" s="1" t="str">
        <f t="shared" si="47"/>
        <v>U14</v>
      </c>
      <c r="M405" s="1" t="str">
        <f t="shared" si="52"/>
        <v>-46</v>
      </c>
      <c r="N405" s="1" t="str">
        <f>""</f>
        <v/>
      </c>
      <c r="O405" s="1">
        <v>1</v>
      </c>
      <c r="P405" s="1"/>
      <c r="Q405" t="s">
        <v>258</v>
      </c>
    </row>
    <row r="406" spans="1:17" x14ac:dyDescent="0.25">
      <c r="A406" t="str">
        <f>"2018-10-21 09:20:24"</f>
        <v>2018-10-21 09:20:24</v>
      </c>
      <c r="B406" s="1" t="str">
        <f>""</f>
        <v/>
      </c>
      <c r="C406" s="1" t="str">
        <f>"Académie de Judo de Sept-Iles Inc."</f>
        <v>Académie de Judo de Sept-Iles Inc.</v>
      </c>
      <c r="D406" s="1" t="str">
        <f>"QC"</f>
        <v>QC</v>
      </c>
      <c r="E406" s="1" t="str">
        <f>"Quebec"</f>
        <v>Quebec</v>
      </c>
      <c r="F406" s="1" t="str">
        <f>"Theo"</f>
        <v>Theo</v>
      </c>
      <c r="G406" s="1" t="str">
        <f>"Rushworth"</f>
        <v>Rushworth</v>
      </c>
      <c r="H406" s="1" t="str">
        <f>"0209320"</f>
        <v>0209320</v>
      </c>
      <c r="I406" s="1" t="str">
        <f t="shared" si="51"/>
        <v>M</v>
      </c>
      <c r="J406" s="2">
        <v>2006</v>
      </c>
      <c r="K406" s="1" t="str">
        <f>"2k"</f>
        <v>2k</v>
      </c>
      <c r="L406" s="1" t="str">
        <f t="shared" si="47"/>
        <v>U14</v>
      </c>
      <c r="M406" s="1" t="str">
        <f t="shared" si="52"/>
        <v>-46</v>
      </c>
      <c r="N406" s="1" t="str">
        <f>""</f>
        <v/>
      </c>
      <c r="O406" s="1">
        <v>1</v>
      </c>
      <c r="P406" s="1"/>
      <c r="Q406" t="s">
        <v>258</v>
      </c>
    </row>
    <row r="407" spans="1:17" x14ac:dyDescent="0.25">
      <c r="B407" s="1" t="str">
        <f>""</f>
        <v/>
      </c>
      <c r="C407" s="1" t="str">
        <f>"Olympic Judo Centre"</f>
        <v>Olympic Judo Centre</v>
      </c>
      <c r="D407" s="1" t="s">
        <v>27</v>
      </c>
      <c r="E407" s="1" t="str">
        <f>"Yukon"</f>
        <v>Yukon</v>
      </c>
      <c r="F407" s="1" t="str">
        <f>"Georgios"</f>
        <v>Georgios</v>
      </c>
      <c r="G407" s="1" t="str">
        <f>"Sevastidis"</f>
        <v>Sevastidis</v>
      </c>
      <c r="H407" s="1" t="str">
        <f>"0235446"</f>
        <v>0235446</v>
      </c>
      <c r="I407" s="1" t="str">
        <f t="shared" si="51"/>
        <v>M</v>
      </c>
      <c r="J407" s="1">
        <v>2006</v>
      </c>
      <c r="K407" s="1" t="s">
        <v>73</v>
      </c>
      <c r="L407" s="1" t="str">
        <f t="shared" si="47"/>
        <v>U14</v>
      </c>
      <c r="M407" s="1" t="str">
        <f t="shared" si="52"/>
        <v>-46</v>
      </c>
      <c r="N407" s="1" t="str">
        <f>""</f>
        <v/>
      </c>
      <c r="O407" s="1"/>
      <c r="P407" s="1"/>
      <c r="Q407" t="s">
        <v>258</v>
      </c>
    </row>
    <row r="408" spans="1:17" x14ac:dyDescent="0.25">
      <c r="A408" t="str">
        <f>"2018-10-20 20:51:02"</f>
        <v>2018-10-20 20:51:02</v>
      </c>
      <c r="B408" s="1" t="str">
        <f>""</f>
        <v/>
      </c>
      <c r="C408" s="1" t="str">
        <f>"Club de Judo Boucherville inc."</f>
        <v>Club de Judo Boucherville inc.</v>
      </c>
      <c r="D408" s="1" t="str">
        <f>"QC"</f>
        <v>QC</v>
      </c>
      <c r="E408" s="1" t="str">
        <f>"Quebec"</f>
        <v>Quebec</v>
      </c>
      <c r="F408" s="1" t="str">
        <f>"Martin"</f>
        <v>Martin</v>
      </c>
      <c r="G408" s="1" t="str">
        <f>"Vieux-Pernon"</f>
        <v>Vieux-Pernon</v>
      </c>
      <c r="H408" s="1" t="str">
        <f>"0224132"</f>
        <v>0224132</v>
      </c>
      <c r="I408" s="1" t="str">
        <f t="shared" si="51"/>
        <v>M</v>
      </c>
      <c r="J408" s="2">
        <v>2007</v>
      </c>
      <c r="K408" s="1" t="str">
        <f>"3k"</f>
        <v>3k</v>
      </c>
      <c r="L408" s="1" t="str">
        <f t="shared" si="47"/>
        <v>U14</v>
      </c>
      <c r="M408" s="1" t="str">
        <f t="shared" si="52"/>
        <v>-46</v>
      </c>
      <c r="N408" s="1" t="str">
        <f>""</f>
        <v/>
      </c>
      <c r="O408" s="1">
        <v>1</v>
      </c>
      <c r="P408" s="1"/>
      <c r="Q408" t="s">
        <v>258</v>
      </c>
    </row>
    <row r="409" spans="1:17" x14ac:dyDescent="0.25">
      <c r="A409" t="str">
        <f>"2018-10-19 18:24:32"</f>
        <v>2018-10-19 18:24:32</v>
      </c>
      <c r="B409" s="1" t="str">
        <f>""</f>
        <v/>
      </c>
      <c r="C409" s="1" t="str">
        <f>"Club de judo Torakai"</f>
        <v>Club de judo Torakai</v>
      </c>
      <c r="D409" s="1" t="str">
        <f>"QC"</f>
        <v>QC</v>
      </c>
      <c r="E409" s="1" t="str">
        <f>"Quebec"</f>
        <v>Quebec</v>
      </c>
      <c r="F409" s="1" t="str">
        <f>"Maude"</f>
        <v>Maude</v>
      </c>
      <c r="G409" s="1" t="str">
        <f>"Demers"</f>
        <v>Demers</v>
      </c>
      <c r="H409" s="1" t="str">
        <f>"0199388"</f>
        <v>0199388</v>
      </c>
      <c r="I409" s="1" t="str">
        <f>"F"</f>
        <v>F</v>
      </c>
      <c r="J409" s="2">
        <v>2007</v>
      </c>
      <c r="K409" s="1" t="str">
        <f>"3k"</f>
        <v>3k</v>
      </c>
      <c r="L409" s="1" t="str">
        <f t="shared" si="47"/>
        <v>U14</v>
      </c>
      <c r="M409" s="1" t="str">
        <f>"-48"</f>
        <v>-48</v>
      </c>
      <c r="N409" s="1" t="str">
        <f>""</f>
        <v/>
      </c>
      <c r="O409" s="1">
        <v>1</v>
      </c>
      <c r="P409" s="1"/>
      <c r="Q409" t="s">
        <v>259</v>
      </c>
    </row>
    <row r="410" spans="1:17" x14ac:dyDescent="0.25">
      <c r="A410" t="str">
        <f>"2018-10-12 00:10:53"</f>
        <v>2018-10-12 00:10:53</v>
      </c>
      <c r="B410" s="1" t="str">
        <f>""</f>
        <v/>
      </c>
      <c r="C410" s="1" t="str">
        <f>"Club de Judo centre Multisports"</f>
        <v>Club de Judo centre Multisports</v>
      </c>
      <c r="D410" s="1" t="str">
        <f>"QC"</f>
        <v>QC</v>
      </c>
      <c r="E410" s="1" t="str">
        <f>"Quebec"</f>
        <v>Quebec</v>
      </c>
      <c r="F410" s="1" t="str">
        <f>"Leelou"</f>
        <v>Leelou</v>
      </c>
      <c r="G410" s="1" t="str">
        <f>"Mallette"</f>
        <v>Mallette</v>
      </c>
      <c r="H410" s="1" t="str">
        <f>"0215028"</f>
        <v>0215028</v>
      </c>
      <c r="I410" s="1" t="str">
        <f>"F"</f>
        <v>F</v>
      </c>
      <c r="J410" s="2">
        <v>2006</v>
      </c>
      <c r="K410" s="1" t="str">
        <f>"3k"</f>
        <v>3k</v>
      </c>
      <c r="L410" s="1" t="str">
        <f t="shared" si="47"/>
        <v>U14</v>
      </c>
      <c r="M410" s="1" t="str">
        <f>"-48"</f>
        <v>-48</v>
      </c>
      <c r="N410" s="1" t="str">
        <f>""</f>
        <v/>
      </c>
      <c r="O410" s="1">
        <v>1</v>
      </c>
      <c r="P410" s="1"/>
      <c r="Q410" t="s">
        <v>259</v>
      </c>
    </row>
    <row r="411" spans="1:17" x14ac:dyDescent="0.25">
      <c r="A411" t="str">
        <f>"2018-09-27 10:27:27"</f>
        <v>2018-09-27 10:27:27</v>
      </c>
      <c r="B411" s="1" t="str">
        <f>""</f>
        <v/>
      </c>
      <c r="C411" s="1" t="str">
        <f>"Dojo Perrot Shima"</f>
        <v>Dojo Perrot Shima</v>
      </c>
      <c r="D411" s="1" t="str">
        <f>"QC"</f>
        <v>QC</v>
      </c>
      <c r="E411" s="1" t="str">
        <f>"Quebec"</f>
        <v>Quebec</v>
      </c>
      <c r="F411" s="1" t="str">
        <f>"Emma"</f>
        <v>Emma</v>
      </c>
      <c r="G411" s="1" t="str">
        <f>"Proulx-Olson"</f>
        <v>Proulx-Olson</v>
      </c>
      <c r="H411" s="1" t="str">
        <f>"0184805"</f>
        <v>0184805</v>
      </c>
      <c r="I411" s="1" t="str">
        <f>"F"</f>
        <v>F</v>
      </c>
      <c r="J411" s="2">
        <v>2007</v>
      </c>
      <c r="K411" s="1" t="str">
        <f>"2k"</f>
        <v>2k</v>
      </c>
      <c r="L411" s="1" t="str">
        <f t="shared" si="47"/>
        <v>U14</v>
      </c>
      <c r="M411" s="1" t="str">
        <f>"-48"</f>
        <v>-48</v>
      </c>
      <c r="N411" s="1" t="str">
        <f>""</f>
        <v/>
      </c>
      <c r="O411" s="1">
        <v>1</v>
      </c>
      <c r="P411" s="1"/>
      <c r="Q411" t="s">
        <v>259</v>
      </c>
    </row>
    <row r="412" spans="1:17" x14ac:dyDescent="0.25">
      <c r="A412" t="str">
        <f>"2018-10-19 02:35:07"</f>
        <v>2018-10-19 02:35:07</v>
      </c>
      <c r="B412" s="1" t="str">
        <f>"2018-10-23 12:04:27"</f>
        <v>2018-10-23 12:04:27</v>
      </c>
      <c r="C412" s="1" t="str">
        <f>"AJAX Budokan"</f>
        <v>AJAX Budokan</v>
      </c>
      <c r="D412" s="1" t="str">
        <f>"ON"</f>
        <v>ON</v>
      </c>
      <c r="E412" s="1" t="str">
        <f>"Yukon"</f>
        <v>Yukon</v>
      </c>
      <c r="F412" s="1" t="str">
        <f>"Cleea"</f>
        <v>Cleea</v>
      </c>
      <c r="G412" s="1" t="str">
        <f>"Straklevski"</f>
        <v>Straklevski</v>
      </c>
      <c r="H412" s="1" t="str">
        <f>"221943 "</f>
        <v xml:space="preserve">221943 </v>
      </c>
      <c r="I412" s="1" t="str">
        <f>"F"</f>
        <v>F</v>
      </c>
      <c r="J412" s="2">
        <v>2006</v>
      </c>
      <c r="K412" s="1" t="str">
        <f>"2k"</f>
        <v>2k</v>
      </c>
      <c r="L412" s="1" t="str">
        <f t="shared" si="47"/>
        <v>U14</v>
      </c>
      <c r="M412" s="1" t="str">
        <f>"-48"</f>
        <v>-48</v>
      </c>
      <c r="N412" s="1" t="str">
        <f>""</f>
        <v/>
      </c>
      <c r="O412" s="1">
        <v>1</v>
      </c>
      <c r="P412" s="1"/>
      <c r="Q412" t="s">
        <v>259</v>
      </c>
    </row>
    <row r="413" spans="1:17" x14ac:dyDescent="0.25">
      <c r="A413" t="str">
        <f>"2018-10-19 10:54:06"</f>
        <v>2018-10-19 10:54:06</v>
      </c>
      <c r="B413" s="1" t="str">
        <f>""</f>
        <v/>
      </c>
      <c r="C413" s="1" t="str">
        <f>"Judo Blainville"</f>
        <v>Judo Blainville</v>
      </c>
      <c r="D413" s="1" t="str">
        <f>"QC"</f>
        <v>QC</v>
      </c>
      <c r="E413" s="1" t="str">
        <f>"Quebec"</f>
        <v>Quebec</v>
      </c>
      <c r="F413" s="1" t="str">
        <f>"Zachari"</f>
        <v>Zachari</v>
      </c>
      <c r="G413" s="1" t="str">
        <f>"Berube"</f>
        <v>Berube</v>
      </c>
      <c r="H413" s="1" t="str">
        <f>"0200302"</f>
        <v>0200302</v>
      </c>
      <c r="I413" s="1" t="str">
        <f>"M"</f>
        <v>M</v>
      </c>
      <c r="J413" s="2">
        <v>2006</v>
      </c>
      <c r="K413" s="1" t="str">
        <f>"3k+"</f>
        <v>3k+</v>
      </c>
      <c r="L413" s="1" t="str">
        <f t="shared" si="47"/>
        <v>U14</v>
      </c>
      <c r="M413" s="1" t="str">
        <f>"-50"</f>
        <v>-50</v>
      </c>
      <c r="N413" s="1" t="str">
        <f>""</f>
        <v/>
      </c>
      <c r="O413" s="1">
        <v>1</v>
      </c>
      <c r="P413" s="1"/>
      <c r="Q413" t="s">
        <v>260</v>
      </c>
    </row>
    <row r="414" spans="1:17" x14ac:dyDescent="0.25">
      <c r="A414" t="str">
        <f>"2018-10-09 22:01:15"</f>
        <v>2018-10-09 22:01:15</v>
      </c>
      <c r="B414" s="1" t="str">
        <f>""</f>
        <v/>
      </c>
      <c r="C414" s="1" t="str">
        <f>"Paineiras do Morumby"</f>
        <v>Paineiras do Morumby</v>
      </c>
      <c r="D414" s="1" t="s">
        <v>164</v>
      </c>
      <c r="E414" s="1" t="str">
        <f>"Brazil"</f>
        <v>Brazil</v>
      </c>
      <c r="F414" s="1" t="str">
        <f>"Lucas"</f>
        <v>Lucas</v>
      </c>
      <c r="G414" s="1" t="str">
        <f>"Dell'aquila"</f>
        <v>Dell'aquila</v>
      </c>
      <c r="H414" s="1" t="str">
        <f>"AutreFederation"</f>
        <v>AutreFederation</v>
      </c>
      <c r="I414" s="1" t="str">
        <f>"M"</f>
        <v>M</v>
      </c>
      <c r="J414" s="2">
        <v>2007</v>
      </c>
      <c r="K414" s="1" t="str">
        <f>"3k"</f>
        <v>3k</v>
      </c>
      <c r="L414" s="1" t="str">
        <f t="shared" si="47"/>
        <v>U14</v>
      </c>
      <c r="M414" s="1" t="str">
        <f>"-50"</f>
        <v>-50</v>
      </c>
      <c r="N414" s="1" t="str">
        <f>""</f>
        <v/>
      </c>
      <c r="O414" s="1">
        <v>1</v>
      </c>
      <c r="P414" s="1"/>
      <c r="Q414" t="s">
        <v>260</v>
      </c>
    </row>
    <row r="415" spans="1:17" x14ac:dyDescent="0.25">
      <c r="A415" t="str">
        <f>"2018-10-19 18:40:00"</f>
        <v>2018-10-19 18:40:00</v>
      </c>
      <c r="B415" s="1" t="str">
        <f>""</f>
        <v/>
      </c>
      <c r="C415" s="1" t="str">
        <f>"Club de judo Shidokan inc."</f>
        <v>Club de judo Shidokan inc.</v>
      </c>
      <c r="D415" s="1" t="str">
        <f>"QC"</f>
        <v>QC</v>
      </c>
      <c r="E415" s="1" t="str">
        <f>"Quebec"</f>
        <v>Quebec</v>
      </c>
      <c r="F415" s="1" t="str">
        <f>"Fahd"</f>
        <v>Fahd</v>
      </c>
      <c r="G415" s="1" t="str">
        <f>"Fithane"</f>
        <v>Fithane</v>
      </c>
      <c r="H415" s="1" t="str">
        <f>"0230568"</f>
        <v>0230568</v>
      </c>
      <c r="I415" s="1" t="str">
        <f>"M"</f>
        <v>M</v>
      </c>
      <c r="J415" s="2">
        <v>2006</v>
      </c>
      <c r="K415" s="1" t="str">
        <f>"3k"</f>
        <v>3k</v>
      </c>
      <c r="L415" s="1" t="str">
        <f t="shared" si="47"/>
        <v>U14</v>
      </c>
      <c r="M415" s="1" t="str">
        <f>"-50"</f>
        <v>-50</v>
      </c>
      <c r="N415" s="1" t="str">
        <f>""</f>
        <v/>
      </c>
      <c r="O415" s="1">
        <v>1</v>
      </c>
      <c r="P415" s="1"/>
      <c r="Q415" t="s">
        <v>260</v>
      </c>
    </row>
    <row r="416" spans="1:17" x14ac:dyDescent="0.25">
      <c r="A416" t="str">
        <f>"2018-10-15 18:23:51"</f>
        <v>2018-10-15 18:23:51</v>
      </c>
      <c r="B416" s="1" t="str">
        <f>"2018-10-23 10:42:25"</f>
        <v>2018-10-23 10:42:25</v>
      </c>
      <c r="C416" s="1" t="str">
        <f>"Valley Judo Institute"</f>
        <v>Valley Judo Institute</v>
      </c>
      <c r="D416" s="1" t="s">
        <v>106</v>
      </c>
      <c r="E416" s="1" t="str">
        <f>"California"</f>
        <v>California</v>
      </c>
      <c r="F416" s="1" t="str">
        <f>"Aleksandar"</f>
        <v>Aleksandar</v>
      </c>
      <c r="G416" s="1" t="str">
        <f>"Khchirian"</f>
        <v>Khchirian</v>
      </c>
      <c r="H416" s="1" t="str">
        <f>"AutreFederation"</f>
        <v>AutreFederation</v>
      </c>
      <c r="I416" s="1" t="str">
        <f>"M"</f>
        <v>M</v>
      </c>
      <c r="J416" s="2">
        <v>2006</v>
      </c>
      <c r="K416" s="1" t="str">
        <f>"2k"</f>
        <v>2k</v>
      </c>
      <c r="L416" s="1" t="str">
        <f t="shared" si="47"/>
        <v>U14</v>
      </c>
      <c r="M416" s="1" t="str">
        <f>"-50"</f>
        <v>-50</v>
      </c>
      <c r="N416" s="1" t="str">
        <f>""</f>
        <v/>
      </c>
      <c r="O416" s="1">
        <v>1</v>
      </c>
      <c r="P416" s="1"/>
      <c r="Q416" t="s">
        <v>260</v>
      </c>
    </row>
    <row r="417" spans="1:17" x14ac:dyDescent="0.25">
      <c r="A417" t="str">
        <f>"2018-10-19 18:40:00"</f>
        <v>2018-10-19 18:40:00</v>
      </c>
      <c r="B417" s="1" t="str">
        <f>""</f>
        <v/>
      </c>
      <c r="C417" s="1" t="str">
        <f>"Club de judo Rouyn-Noranda"</f>
        <v>Club de judo Rouyn-Noranda</v>
      </c>
      <c r="D417" s="1" t="str">
        <f>"QC"</f>
        <v>QC</v>
      </c>
      <c r="E417" s="1" t="str">
        <f>"Quebec"</f>
        <v>Quebec</v>
      </c>
      <c r="F417" s="1" t="str">
        <f>"Anthony"</f>
        <v>Anthony</v>
      </c>
      <c r="G417" s="1" t="str">
        <f>"McFadden"</f>
        <v>McFadden</v>
      </c>
      <c r="H417" s="1" t="str">
        <f>"0195241"</f>
        <v>0195241</v>
      </c>
      <c r="I417" s="1" t="str">
        <f>"M"</f>
        <v>M</v>
      </c>
      <c r="J417" s="2">
        <v>2006</v>
      </c>
      <c r="K417" s="1" t="str">
        <f>"3k"</f>
        <v>3k</v>
      </c>
      <c r="L417" s="1" t="str">
        <f t="shared" si="47"/>
        <v>U14</v>
      </c>
      <c r="M417" s="1" t="str">
        <f>"-50"</f>
        <v>-50</v>
      </c>
      <c r="N417" s="1" t="str">
        <f>""</f>
        <v/>
      </c>
      <c r="O417" s="1">
        <v>1</v>
      </c>
      <c r="P417" s="1"/>
      <c r="Q417" t="s">
        <v>260</v>
      </c>
    </row>
    <row r="418" spans="1:17" x14ac:dyDescent="0.25">
      <c r="A418" t="str">
        <f>"2018-10-02 19:57:14"</f>
        <v>2018-10-02 19:57:14</v>
      </c>
      <c r="B418" s="1" t="str">
        <f>""</f>
        <v/>
      </c>
      <c r="C418" s="1" t="str">
        <f>"Hayabusakan"</f>
        <v>Hayabusakan</v>
      </c>
      <c r="D418" s="1" t="str">
        <f>"ON"</f>
        <v>ON</v>
      </c>
      <c r="E418" s="1" t="str">
        <f>"Ontario"</f>
        <v>Ontario</v>
      </c>
      <c r="F418" s="1" t="str">
        <f>"Margot"</f>
        <v>Margot</v>
      </c>
      <c r="G418" s="1" t="str">
        <f>"Chevalier"</f>
        <v>Chevalier</v>
      </c>
      <c r="H418" s="1" t="str">
        <f>"0215083"</f>
        <v>0215083</v>
      </c>
      <c r="I418" s="1" t="str">
        <f>"F"</f>
        <v>F</v>
      </c>
      <c r="J418" s="2">
        <v>2006</v>
      </c>
      <c r="K418" s="1" t="str">
        <f>"3k"</f>
        <v>3k</v>
      </c>
      <c r="L418" s="1" t="str">
        <f t="shared" si="47"/>
        <v>U14</v>
      </c>
      <c r="M418" s="1" t="str">
        <f>"-52"</f>
        <v>-52</v>
      </c>
      <c r="N418" s="1" t="str">
        <f>""</f>
        <v/>
      </c>
      <c r="O418" s="1">
        <v>1</v>
      </c>
      <c r="P418" s="1"/>
      <c r="Q418" t="s">
        <v>261</v>
      </c>
    </row>
    <row r="419" spans="1:17" x14ac:dyDescent="0.25">
      <c r="A419" t="str">
        <f>"2018-10-02 15:35:16"</f>
        <v>2018-10-02 15:35:16</v>
      </c>
      <c r="B419" s="1" t="str">
        <f>""</f>
        <v/>
      </c>
      <c r="C419" s="1" t="str">
        <f>"Institut Judo Chicoutimi"</f>
        <v>Institut Judo Chicoutimi</v>
      </c>
      <c r="D419" s="1" t="str">
        <f>"QC"</f>
        <v>QC</v>
      </c>
      <c r="E419" s="1" t="str">
        <f>"Quebec"</f>
        <v>Quebec</v>
      </c>
      <c r="F419" s="1" t="str">
        <f>"Marjorie"</f>
        <v>Marjorie</v>
      </c>
      <c r="G419" s="1" t="str">
        <f>"Martineau"</f>
        <v>Martineau</v>
      </c>
      <c r="H419" s="1" t="str">
        <f>"0172703"</f>
        <v>0172703</v>
      </c>
      <c r="I419" s="1" t="str">
        <f>"F"</f>
        <v>F</v>
      </c>
      <c r="J419" s="2">
        <v>2006</v>
      </c>
      <c r="K419" s="1" t="str">
        <f>"2k"</f>
        <v>2k</v>
      </c>
      <c r="L419" s="1" t="str">
        <f t="shared" si="47"/>
        <v>U14</v>
      </c>
      <c r="M419" s="1" t="str">
        <f>"-52"</f>
        <v>-52</v>
      </c>
      <c r="N419" s="1" t="str">
        <f>""</f>
        <v/>
      </c>
      <c r="O419" s="1">
        <v>1</v>
      </c>
      <c r="P419" s="1"/>
      <c r="Q419" t="s">
        <v>261</v>
      </c>
    </row>
    <row r="420" spans="1:17" x14ac:dyDescent="0.25">
      <c r="A420" t="str">
        <f>"2018-10-20 22:45:08"</f>
        <v>2018-10-20 22:45:08</v>
      </c>
      <c r="B420" s="1" t="str">
        <f>""</f>
        <v/>
      </c>
      <c r="C420" s="1" t="str">
        <f>"Club judokas Jonquière inc."</f>
        <v>Club judokas Jonquière inc.</v>
      </c>
      <c r="D420" s="1" t="str">
        <f>"QC"</f>
        <v>QC</v>
      </c>
      <c r="E420" s="1" t="str">
        <f>"Quebec"</f>
        <v>Quebec</v>
      </c>
      <c r="F420" s="1" t="str">
        <f>"Meagan"</f>
        <v>Meagan</v>
      </c>
      <c r="G420" s="1" t="str">
        <f>"Savard"</f>
        <v>Savard</v>
      </c>
      <c r="H420" s="1" t="str">
        <f>"0202173"</f>
        <v>0202173</v>
      </c>
      <c r="I420" s="1" t="str">
        <f>"F"</f>
        <v>F</v>
      </c>
      <c r="J420" s="2">
        <v>2006</v>
      </c>
      <c r="K420" s="1" t="str">
        <f>"2k"</f>
        <v>2k</v>
      </c>
      <c r="L420" s="1" t="str">
        <f t="shared" si="47"/>
        <v>U14</v>
      </c>
      <c r="M420" s="1" t="str">
        <f>"-52"</f>
        <v>-52</v>
      </c>
      <c r="N420" s="1" t="str">
        <f>""</f>
        <v/>
      </c>
      <c r="O420" s="1">
        <v>1</v>
      </c>
      <c r="P420" s="1"/>
      <c r="Q420" t="s">
        <v>261</v>
      </c>
    </row>
    <row r="421" spans="1:17" x14ac:dyDescent="0.25">
      <c r="A421" t="str">
        <f>"2018-10-06 09:44:39"</f>
        <v>2018-10-06 09:44:39</v>
      </c>
      <c r="B421" s="1" t="str">
        <f>"2018-10-23 08:38:02"</f>
        <v>2018-10-23 08:38:02</v>
      </c>
      <c r="C421" s="1" t="str">
        <f>"Club de judo Métropolitain inc."</f>
        <v>Club de judo Métropolitain inc.</v>
      </c>
      <c r="D421" s="1" t="str">
        <f>"QC"</f>
        <v>QC</v>
      </c>
      <c r="E421" s="1" t="str">
        <f>"Quebec"</f>
        <v>Quebec</v>
      </c>
      <c r="F421" s="1" t="str">
        <f>"Samson"</f>
        <v>Samson</v>
      </c>
      <c r="G421" s="1" t="str">
        <f>"Gill"</f>
        <v>Gill</v>
      </c>
      <c r="H421" s="1" t="str">
        <f>"0213818"</f>
        <v>0213818</v>
      </c>
      <c r="I421" s="1" t="str">
        <f>"M"</f>
        <v>M</v>
      </c>
      <c r="J421" s="2">
        <v>2006</v>
      </c>
      <c r="K421" s="1" t="str">
        <f t="shared" ref="K421:K426" si="53">"3k"</f>
        <v>3k</v>
      </c>
      <c r="L421" s="1" t="str">
        <f t="shared" si="47"/>
        <v>U14</v>
      </c>
      <c r="M421" s="1" t="str">
        <f>"-55"</f>
        <v>-55</v>
      </c>
      <c r="N421" s="1" t="str">
        <f>""</f>
        <v/>
      </c>
      <c r="O421" s="1">
        <v>1</v>
      </c>
      <c r="P421" s="1"/>
      <c r="Q421" t="s">
        <v>262</v>
      </c>
    </row>
    <row r="422" spans="1:17" x14ac:dyDescent="0.25">
      <c r="A422" t="str">
        <f>"2018-10-07 16:40:10"</f>
        <v>2018-10-07 16:40:10</v>
      </c>
      <c r="B422" s="1" t="str">
        <f>""</f>
        <v/>
      </c>
      <c r="C422" s="1" t="str">
        <f>"Club de Judo Haut-Richelieu"</f>
        <v>Club de Judo Haut-Richelieu</v>
      </c>
      <c r="D422" s="1" t="str">
        <f>"QC"</f>
        <v>QC</v>
      </c>
      <c r="E422" s="1" t="str">
        <f>"Quebec"</f>
        <v>Quebec</v>
      </c>
      <c r="F422" s="1" t="str">
        <f>"Philippe"</f>
        <v>Philippe</v>
      </c>
      <c r="G422" s="1" t="str">
        <f>"Glaude"</f>
        <v>Glaude</v>
      </c>
      <c r="H422" s="1" t="str">
        <f>"0212410"</f>
        <v>0212410</v>
      </c>
      <c r="I422" s="1" t="str">
        <f>"M"</f>
        <v>M</v>
      </c>
      <c r="J422" s="2">
        <v>2007</v>
      </c>
      <c r="K422" s="1" t="str">
        <f t="shared" si="53"/>
        <v>3k</v>
      </c>
      <c r="L422" s="1" t="str">
        <f t="shared" si="47"/>
        <v>U14</v>
      </c>
      <c r="M422" s="1" t="str">
        <f>"-55"</f>
        <v>-55</v>
      </c>
      <c r="N422" s="1" t="str">
        <f>""</f>
        <v/>
      </c>
      <c r="O422" s="1">
        <v>1</v>
      </c>
      <c r="P422" s="1"/>
      <c r="Q422" t="s">
        <v>262</v>
      </c>
    </row>
    <row r="423" spans="1:17" x14ac:dyDescent="0.25">
      <c r="A423" t="str">
        <f>"2018-10-18 18:42:06"</f>
        <v>2018-10-18 18:42:06</v>
      </c>
      <c r="B423" s="1" t="str">
        <f>""</f>
        <v/>
      </c>
      <c r="C423" s="1" t="str">
        <f>"Judo Sambo Center"</f>
        <v>Judo Sambo Center</v>
      </c>
      <c r="D423" s="1" t="s">
        <v>106</v>
      </c>
      <c r="E423" s="1" t="str">
        <f>"New York /US"</f>
        <v>New York /US</v>
      </c>
      <c r="F423" s="1" t="str">
        <f>"Benjamin"</f>
        <v>Benjamin</v>
      </c>
      <c r="G423" s="1" t="str">
        <f>"Koyfman"</f>
        <v>Koyfman</v>
      </c>
      <c r="H423" s="1" t="str">
        <f>"AutreFederation"</f>
        <v>AutreFederation</v>
      </c>
      <c r="I423" s="1" t="str">
        <f>"M"</f>
        <v>M</v>
      </c>
      <c r="J423" s="2">
        <v>2007</v>
      </c>
      <c r="K423" s="1" t="str">
        <f t="shared" si="53"/>
        <v>3k</v>
      </c>
      <c r="L423" s="1" t="str">
        <f t="shared" si="47"/>
        <v>U14</v>
      </c>
      <c r="M423" s="1" t="str">
        <f>"-55"</f>
        <v>-55</v>
      </c>
      <c r="N423" s="1" t="str">
        <f>""</f>
        <v/>
      </c>
      <c r="O423" s="1">
        <v>1</v>
      </c>
      <c r="P423" s="1"/>
      <c r="Q423" t="s">
        <v>262</v>
      </c>
    </row>
    <row r="424" spans="1:17" x14ac:dyDescent="0.25">
      <c r="A424" t="str">
        <f>"2018-10-12 13:41:44"</f>
        <v>2018-10-12 13:41:44</v>
      </c>
      <c r="B424" s="1" t="str">
        <f>""</f>
        <v/>
      </c>
      <c r="C424" s="1" t="str">
        <f>"Club judokas Jonquière inc."</f>
        <v>Club judokas Jonquière inc.</v>
      </c>
      <c r="D424" s="1" t="str">
        <f>"QC"</f>
        <v>QC</v>
      </c>
      <c r="E424" s="1" t="str">
        <f>"Quebec"</f>
        <v>Quebec</v>
      </c>
      <c r="F424" s="1" t="str">
        <f>"Nicolas"</f>
        <v>Nicolas</v>
      </c>
      <c r="G424" s="1" t="str">
        <f>"Manil-Bouchard"</f>
        <v>Manil-Bouchard</v>
      </c>
      <c r="H424" s="1" t="str">
        <f>"0192237"</f>
        <v>0192237</v>
      </c>
      <c r="I424" s="1" t="str">
        <f>"M"</f>
        <v>M</v>
      </c>
      <c r="J424" s="2">
        <v>2007</v>
      </c>
      <c r="K424" s="1" t="str">
        <f t="shared" si="53"/>
        <v>3k</v>
      </c>
      <c r="L424" s="1" t="str">
        <f t="shared" si="47"/>
        <v>U14</v>
      </c>
      <c r="M424" s="1" t="str">
        <f>"-55"</f>
        <v>-55</v>
      </c>
      <c r="N424" s="1" t="str">
        <f>""</f>
        <v/>
      </c>
      <c r="O424" s="1">
        <v>1</v>
      </c>
      <c r="P424" s="1"/>
      <c r="Q424" t="s">
        <v>262</v>
      </c>
    </row>
    <row r="425" spans="1:17" x14ac:dyDescent="0.25">
      <c r="A425" t="str">
        <f>"2018-10-02 18:37:29"</f>
        <v>2018-10-02 18:37:29</v>
      </c>
      <c r="B425" s="1" t="str">
        <f>""</f>
        <v/>
      </c>
      <c r="C425" s="1" t="str">
        <f>"Challenge Sports Club"</f>
        <v>Challenge Sports Club</v>
      </c>
      <c r="D425" s="1" t="str">
        <f>"ON"</f>
        <v>ON</v>
      </c>
      <c r="E425" s="1" t="str">
        <f>"Ontario"</f>
        <v>Ontario</v>
      </c>
      <c r="F425" s="1" t="str">
        <f>"Patrick"</f>
        <v>Patrick</v>
      </c>
      <c r="G425" s="1" t="str">
        <f>"Mertarchyan"</f>
        <v>Mertarchyan</v>
      </c>
      <c r="H425" s="1" t="str">
        <f>"0209194"</f>
        <v>0209194</v>
      </c>
      <c r="I425" s="1" t="str">
        <f>"M"</f>
        <v>M</v>
      </c>
      <c r="J425" s="2">
        <v>2007</v>
      </c>
      <c r="K425" s="1" t="str">
        <f t="shared" si="53"/>
        <v>3k</v>
      </c>
      <c r="L425" s="1" t="str">
        <f t="shared" si="47"/>
        <v>U14</v>
      </c>
      <c r="M425" s="1" t="str">
        <f>"-55"</f>
        <v>-55</v>
      </c>
      <c r="N425" s="1" t="str">
        <f>""</f>
        <v/>
      </c>
      <c r="O425" s="1">
        <v>1</v>
      </c>
      <c r="P425" s="1"/>
      <c r="Q425" t="s">
        <v>262</v>
      </c>
    </row>
    <row r="426" spans="1:17" x14ac:dyDescent="0.25">
      <c r="A426" t="str">
        <f>"2018-10-24 21:18:35"</f>
        <v>2018-10-24 21:18:35</v>
      </c>
      <c r="B426" s="1" t="str">
        <f>""</f>
        <v/>
      </c>
      <c r="C426" s="1" t="str">
        <f>"Club de judo Métropolitain inc."</f>
        <v>Club de judo Métropolitain inc.</v>
      </c>
      <c r="D426" s="1" t="str">
        <f>"QC"</f>
        <v>QC</v>
      </c>
      <c r="E426" s="1" t="str">
        <f>"Quebec"</f>
        <v>Quebec</v>
      </c>
      <c r="F426" s="1" t="str">
        <f>"Loubna"</f>
        <v>Loubna</v>
      </c>
      <c r="G426" s="1" t="str">
        <f>"Bradai"</f>
        <v>Bradai</v>
      </c>
      <c r="H426" s="1" t="str">
        <f>"0226325"</f>
        <v>0226325</v>
      </c>
      <c r="I426" s="1" t="s">
        <v>20</v>
      </c>
      <c r="J426" s="2">
        <v>2007</v>
      </c>
      <c r="K426" s="1" t="str">
        <f t="shared" si="53"/>
        <v>3k</v>
      </c>
      <c r="L426" s="1" t="str">
        <f t="shared" si="47"/>
        <v>U14</v>
      </c>
      <c r="M426" s="1">
        <v>-57</v>
      </c>
      <c r="N426" s="1" t="str">
        <f>""</f>
        <v/>
      </c>
      <c r="O426" s="1">
        <v>1</v>
      </c>
      <c r="P426" s="1"/>
      <c r="Q426" t="s">
        <v>263</v>
      </c>
    </row>
    <row r="427" spans="1:17" x14ac:dyDescent="0.25">
      <c r="A427" t="str">
        <f>"2018-10-21 14:39:41"</f>
        <v>2018-10-21 14:39:41</v>
      </c>
      <c r="B427" s="1" t="str">
        <f>""</f>
        <v/>
      </c>
      <c r="C427" s="1" t="str">
        <f>"Club judokas Jonquière inc."</f>
        <v>Club judokas Jonquière inc.</v>
      </c>
      <c r="D427" s="1" t="str">
        <f>"QC"</f>
        <v>QC</v>
      </c>
      <c r="E427" s="1" t="str">
        <f>"Quebec"</f>
        <v>Quebec</v>
      </c>
      <c r="F427" s="1" t="str">
        <f>"Olivia"</f>
        <v>Olivia</v>
      </c>
      <c r="G427" s="1" t="str">
        <f>"Dessureault"</f>
        <v>Dessureault</v>
      </c>
      <c r="H427" s="1" t="str">
        <f>"0202114"</f>
        <v>0202114</v>
      </c>
      <c r="I427" s="1" t="str">
        <f>"F"</f>
        <v>F</v>
      </c>
      <c r="J427" s="2">
        <v>2006</v>
      </c>
      <c r="K427" s="1" t="str">
        <f>"2k"</f>
        <v>2k</v>
      </c>
      <c r="L427" s="1" t="str">
        <f t="shared" si="47"/>
        <v>U14</v>
      </c>
      <c r="M427" s="1" t="str">
        <f>"-57"</f>
        <v>-57</v>
      </c>
      <c r="N427" s="1" t="str">
        <f>""</f>
        <v/>
      </c>
      <c r="O427" s="1">
        <v>1</v>
      </c>
      <c r="P427" s="1"/>
      <c r="Q427" t="s">
        <v>263</v>
      </c>
    </row>
    <row r="428" spans="1:17" x14ac:dyDescent="0.25">
      <c r="A428" t="str">
        <f>"2018-10-14 23:12:29"</f>
        <v>2018-10-14 23:12:29</v>
      </c>
      <c r="B428" s="1" t="str">
        <f>""</f>
        <v/>
      </c>
      <c r="C428" s="1" t="str">
        <f>"Club de Judo Boucherville inc."</f>
        <v>Club de Judo Boucherville inc.</v>
      </c>
      <c r="D428" s="1" t="str">
        <f>"QC"</f>
        <v>QC</v>
      </c>
      <c r="E428" s="1" t="str">
        <f>"Quebec"</f>
        <v>Quebec</v>
      </c>
      <c r="F428" s="1" t="str">
        <f>"Emy"</f>
        <v>Emy</v>
      </c>
      <c r="G428" s="1" t="str">
        <f>"Haineault"</f>
        <v>Haineault</v>
      </c>
      <c r="H428" s="1" t="str">
        <f>"0220883"</f>
        <v>0220883</v>
      </c>
      <c r="I428" s="1" t="str">
        <f>"F"</f>
        <v>F</v>
      </c>
      <c r="J428" s="2">
        <v>2006</v>
      </c>
      <c r="K428" s="1" t="str">
        <f>"3k"</f>
        <v>3k</v>
      </c>
      <c r="L428" s="1" t="str">
        <f t="shared" si="47"/>
        <v>U14</v>
      </c>
      <c r="M428" s="1" t="str">
        <f>"-57"</f>
        <v>-57</v>
      </c>
      <c r="N428" s="1" t="str">
        <f>""</f>
        <v/>
      </c>
      <c r="O428" s="1">
        <v>1</v>
      </c>
      <c r="P428" s="1"/>
      <c r="Q428" t="s">
        <v>263</v>
      </c>
    </row>
    <row r="429" spans="1:17" x14ac:dyDescent="0.25">
      <c r="A429" t="str">
        <f>"2018-10-14 23:12:29"</f>
        <v>2018-10-14 23:12:29</v>
      </c>
      <c r="B429" s="1" t="str">
        <f>""</f>
        <v/>
      </c>
      <c r="C429" s="1" t="str">
        <f>"Club de judo Métropolitain inc."</f>
        <v>Club de judo Métropolitain inc.</v>
      </c>
      <c r="D429" s="1" t="str">
        <f>"QC"</f>
        <v>QC</v>
      </c>
      <c r="E429" s="1" t="str">
        <f>"Quebec"</f>
        <v>Quebec</v>
      </c>
      <c r="F429" s="1" t="str">
        <f>"Frederique"</f>
        <v>Frederique</v>
      </c>
      <c r="G429" s="1" t="str">
        <f>"Lavigne"</f>
        <v>Lavigne</v>
      </c>
      <c r="H429" s="1" t="str">
        <f>"0197620"</f>
        <v>0197620</v>
      </c>
      <c r="I429" s="1" t="str">
        <f>"F"</f>
        <v>F</v>
      </c>
      <c r="J429" s="2">
        <v>2006</v>
      </c>
      <c r="K429" s="1" t="str">
        <f>"3k"</f>
        <v>3k</v>
      </c>
      <c r="L429" s="1" t="str">
        <f t="shared" si="47"/>
        <v>U14</v>
      </c>
      <c r="M429" s="1" t="str">
        <f>"-57"</f>
        <v>-57</v>
      </c>
      <c r="N429" s="1" t="str">
        <f>""</f>
        <v/>
      </c>
      <c r="O429" s="1">
        <v>1</v>
      </c>
      <c r="P429" s="1"/>
      <c r="Q429" t="s">
        <v>263</v>
      </c>
    </row>
    <row r="430" spans="1:17" x14ac:dyDescent="0.25">
      <c r="A430" t="str">
        <f>"2018-10-14 18:48:21"</f>
        <v>2018-10-14 18:48:21</v>
      </c>
      <c r="B430" s="1" t="str">
        <f>""</f>
        <v/>
      </c>
      <c r="C430" s="1" t="str">
        <f>"Club de Judo Shawinigan"</f>
        <v>Club de Judo Shawinigan</v>
      </c>
      <c r="D430" s="1" t="str">
        <f>"QC"</f>
        <v>QC</v>
      </c>
      <c r="E430" s="1" t="str">
        <f>"Quebec"</f>
        <v>Quebec</v>
      </c>
      <c r="F430" s="1" t="str">
        <f>"Kenia"</f>
        <v>Kenia</v>
      </c>
      <c r="G430" s="1" t="str">
        <f>"Vallieres"</f>
        <v>Vallieres</v>
      </c>
      <c r="H430" s="1" t="str">
        <f>"0216740"</f>
        <v>0216740</v>
      </c>
      <c r="I430" s="1" t="str">
        <f>"F"</f>
        <v>F</v>
      </c>
      <c r="J430" s="2">
        <v>2006</v>
      </c>
      <c r="K430" s="1" t="str">
        <f>"3k"</f>
        <v>3k</v>
      </c>
      <c r="L430" s="1" t="str">
        <f t="shared" si="47"/>
        <v>U14</v>
      </c>
      <c r="M430" s="1" t="str">
        <f>"-57"</f>
        <v>-57</v>
      </c>
      <c r="N430" s="1" t="str">
        <f>""</f>
        <v/>
      </c>
      <c r="O430" s="1">
        <v>1</v>
      </c>
      <c r="P430" s="1"/>
      <c r="Q430" t="s">
        <v>263</v>
      </c>
    </row>
    <row r="431" spans="1:17" x14ac:dyDescent="0.25">
      <c r="A431" t="str">
        <f>"2018-10-12 13:41:44"</f>
        <v>2018-10-12 13:41:44</v>
      </c>
      <c r="B431" s="1" t="str">
        <f>""</f>
        <v/>
      </c>
      <c r="C431" s="1" t="str">
        <f>"Judo Sambo Center"</f>
        <v>Judo Sambo Center</v>
      </c>
      <c r="D431" s="1" t="s">
        <v>106</v>
      </c>
      <c r="E431" s="1" t="str">
        <f>"United States"</f>
        <v>United States</v>
      </c>
      <c r="F431" s="1" t="str">
        <f>"Timur"</f>
        <v>Timur</v>
      </c>
      <c r="G431" s="1" t="str">
        <f>"Beksultan"</f>
        <v>Beksultan</v>
      </c>
      <c r="H431" s="1" t="str">
        <f>"AutreFederation"</f>
        <v>AutreFederation</v>
      </c>
      <c r="I431" s="1" t="str">
        <f t="shared" ref="I431:I444" si="54">"M"</f>
        <v>M</v>
      </c>
      <c r="J431" s="2">
        <v>2006</v>
      </c>
      <c r="K431" s="1" t="str">
        <f>"2k"</f>
        <v>2k</v>
      </c>
      <c r="L431" s="1" t="str">
        <f t="shared" si="47"/>
        <v>U14</v>
      </c>
      <c r="M431" s="1" t="str">
        <f>"-60"</f>
        <v>-60</v>
      </c>
      <c r="N431" s="1" t="str">
        <f>""</f>
        <v/>
      </c>
      <c r="O431" s="1">
        <v>1</v>
      </c>
      <c r="P431" s="1"/>
      <c r="Q431" t="s">
        <v>264</v>
      </c>
    </row>
    <row r="432" spans="1:17" x14ac:dyDescent="0.25">
      <c r="A432" t="str">
        <f>"2018-10-02 18:37:29"</f>
        <v>2018-10-02 18:37:29</v>
      </c>
      <c r="B432" s="1" t="str">
        <f>""</f>
        <v/>
      </c>
      <c r="C432" s="1" t="str">
        <f>"Paineiras do Morumby"</f>
        <v>Paineiras do Morumby</v>
      </c>
      <c r="D432" s="1" t="s">
        <v>164</v>
      </c>
      <c r="E432" s="1" t="str">
        <f>"Brazil"</f>
        <v>Brazil</v>
      </c>
      <c r="F432" s="1" t="str">
        <f>"Kaua"</f>
        <v>Kaua</v>
      </c>
      <c r="G432" s="1" t="str">
        <f>"Leal"</f>
        <v>Leal</v>
      </c>
      <c r="H432" s="1" t="str">
        <f>"AutreFederation"</f>
        <v>AutreFederation</v>
      </c>
      <c r="I432" s="1" t="str">
        <f t="shared" si="54"/>
        <v>M</v>
      </c>
      <c r="J432" s="2">
        <v>2006</v>
      </c>
      <c r="K432" s="1" t="str">
        <f>"3k"</f>
        <v>3k</v>
      </c>
      <c r="L432" s="1" t="str">
        <f t="shared" si="47"/>
        <v>U14</v>
      </c>
      <c r="M432" s="1" t="str">
        <f>"-60"</f>
        <v>-60</v>
      </c>
      <c r="N432" s="1" t="str">
        <f>""</f>
        <v/>
      </c>
      <c r="O432" s="1">
        <v>1</v>
      </c>
      <c r="P432" s="1"/>
      <c r="Q432" t="s">
        <v>264</v>
      </c>
    </row>
    <row r="433" spans="1:17" x14ac:dyDescent="0.25">
      <c r="A433" t="str">
        <f>"2018-10-06 09:44:39"</f>
        <v>2018-10-06 09:44:39</v>
      </c>
      <c r="B433" s="1" t="str">
        <f>""</f>
        <v/>
      </c>
      <c r="C433" s="1" t="str">
        <f>"Club de Judo et de Ju-Jitsu Juvaldo inc."</f>
        <v>Club de Judo et de Ju-Jitsu Juvaldo inc.</v>
      </c>
      <c r="D433" s="1" t="str">
        <f>"QC"</f>
        <v>QC</v>
      </c>
      <c r="E433" s="1" t="str">
        <f>"Quebec"</f>
        <v>Quebec</v>
      </c>
      <c r="F433" s="1" t="str">
        <f>"Zac"</f>
        <v>Zac</v>
      </c>
      <c r="G433" s="1" t="str">
        <f>"Masse"</f>
        <v>Masse</v>
      </c>
      <c r="H433" s="1" t="str">
        <f>"0201060"</f>
        <v>0201060</v>
      </c>
      <c r="I433" s="1" t="str">
        <f t="shared" si="54"/>
        <v>M</v>
      </c>
      <c r="J433" s="2">
        <v>2006</v>
      </c>
      <c r="K433" s="1" t="str">
        <f>"3k"</f>
        <v>3k</v>
      </c>
      <c r="L433" s="1" t="str">
        <f t="shared" si="47"/>
        <v>U14</v>
      </c>
      <c r="M433" s="1" t="str">
        <f>"-60"</f>
        <v>-60</v>
      </c>
      <c r="N433" s="1" t="str">
        <f>""</f>
        <v/>
      </c>
      <c r="O433" s="1">
        <v>1</v>
      </c>
      <c r="P433" s="1"/>
      <c r="Q433" t="s">
        <v>264</v>
      </c>
    </row>
    <row r="434" spans="1:17" x14ac:dyDescent="0.25">
      <c r="A434" t="str">
        <f>"2018-10-07 16:40:10"</f>
        <v>2018-10-07 16:40:10</v>
      </c>
      <c r="B434" s="1" t="str">
        <f>""</f>
        <v/>
      </c>
      <c r="C434" s="1" t="str">
        <f>"Club de judo Torii"</f>
        <v>Club de judo Torii</v>
      </c>
      <c r="D434" s="1" t="str">
        <f>"QC"</f>
        <v>QC</v>
      </c>
      <c r="E434" s="1" t="str">
        <f>"Quebec"</f>
        <v>Quebec</v>
      </c>
      <c r="F434" s="1" t="str">
        <f>"Mohamed Amine"</f>
        <v>Mohamed Amine</v>
      </c>
      <c r="G434" s="1" t="str">
        <f>"Silem"</f>
        <v>Silem</v>
      </c>
      <c r="H434" s="1" t="str">
        <f>"0189927"</f>
        <v>0189927</v>
      </c>
      <c r="I434" s="1" t="str">
        <f t="shared" si="54"/>
        <v>M</v>
      </c>
      <c r="J434" s="2">
        <v>2007</v>
      </c>
      <c r="K434" s="1" t="str">
        <f>"3k"</f>
        <v>3k</v>
      </c>
      <c r="L434" s="1" t="str">
        <f t="shared" si="47"/>
        <v>U14</v>
      </c>
      <c r="M434" s="1" t="str">
        <f>"-60"</f>
        <v>-60</v>
      </c>
      <c r="N434" s="1" t="str">
        <f>""</f>
        <v/>
      </c>
      <c r="O434" s="1">
        <v>1</v>
      </c>
      <c r="P434" s="1"/>
      <c r="Q434" t="s">
        <v>264</v>
      </c>
    </row>
    <row r="435" spans="1:17" x14ac:dyDescent="0.25">
      <c r="A435" t="str">
        <f>"2018-10-09 21:45:39"</f>
        <v>2018-10-09 21:45:39</v>
      </c>
      <c r="B435" s="1" t="str">
        <f>""</f>
        <v/>
      </c>
      <c r="C435" s="1" t="str">
        <f>"Hoku Sei Kan Judo Club"</f>
        <v>Hoku Sei Kan Judo Club</v>
      </c>
      <c r="D435" s="1" t="str">
        <f>"AB"</f>
        <v>AB</v>
      </c>
      <c r="E435" s="1" t="str">
        <f>"Alberta"</f>
        <v>Alberta</v>
      </c>
      <c r="F435" s="1" t="str">
        <f>"Nikita"</f>
        <v>Nikita</v>
      </c>
      <c r="G435" s="1" t="str">
        <f>"Tsyruk"</f>
        <v>Tsyruk</v>
      </c>
      <c r="H435" s="1" t="str">
        <f>"0214541"</f>
        <v>0214541</v>
      </c>
      <c r="I435" s="1" t="str">
        <f t="shared" si="54"/>
        <v>M</v>
      </c>
      <c r="J435" s="2">
        <v>2007</v>
      </c>
      <c r="K435" s="1" t="str">
        <f>"3k"</f>
        <v>3k</v>
      </c>
      <c r="L435" s="1" t="str">
        <f t="shared" si="47"/>
        <v>U14</v>
      </c>
      <c r="M435" s="1" t="str">
        <f>"-60"</f>
        <v>-60</v>
      </c>
      <c r="N435" s="1" t="str">
        <f>""</f>
        <v/>
      </c>
      <c r="O435" s="1">
        <v>1</v>
      </c>
      <c r="P435" s="1"/>
      <c r="Q435" t="s">
        <v>264</v>
      </c>
    </row>
    <row r="436" spans="1:17" x14ac:dyDescent="0.25">
      <c r="A436" t="str">
        <f>"2018-10-17 23:12:00"</f>
        <v>2018-10-17 23:12:00</v>
      </c>
      <c r="B436" s="1" t="str">
        <f>""</f>
        <v/>
      </c>
      <c r="C436" s="1" t="str">
        <f>"Club de judo Vallée du Richelieu"</f>
        <v>Club de judo Vallée du Richelieu</v>
      </c>
      <c r="D436" s="1" t="str">
        <f>"QC"</f>
        <v>QC</v>
      </c>
      <c r="E436" s="1" t="str">
        <f>"Quebec"</f>
        <v>Quebec</v>
      </c>
      <c r="F436" s="1" t="str">
        <f>"Loïc-Olivier"</f>
        <v>Loïc-Olivier</v>
      </c>
      <c r="G436" s="1" t="str">
        <f>"Duhamel"</f>
        <v>Duhamel</v>
      </c>
      <c r="H436" s="1" t="str">
        <f>"0177323"</f>
        <v>0177323</v>
      </c>
      <c r="I436" s="1" t="str">
        <f t="shared" si="54"/>
        <v>M</v>
      </c>
      <c r="J436" s="2">
        <v>2006</v>
      </c>
      <c r="K436" s="1" t="str">
        <f>"3k+"</f>
        <v>3k+</v>
      </c>
      <c r="L436" s="1" t="str">
        <f t="shared" si="47"/>
        <v>U14</v>
      </c>
      <c r="M436" s="1" t="str">
        <f>"-66"</f>
        <v>-66</v>
      </c>
      <c r="N436" s="1" t="str">
        <f>""</f>
        <v/>
      </c>
      <c r="O436" s="1">
        <v>1</v>
      </c>
      <c r="P436" s="1"/>
      <c r="Q436" t="s">
        <v>265</v>
      </c>
    </row>
    <row r="437" spans="1:17" x14ac:dyDescent="0.25">
      <c r="A437" t="str">
        <f>"2018-10-11 22:51:01"</f>
        <v>2018-10-11 22:51:01</v>
      </c>
      <c r="B437" s="1" t="str">
        <f>""</f>
        <v/>
      </c>
      <c r="C437" s="1" t="str">
        <f>"Budokan Saint-Laurent"</f>
        <v>Budokan Saint-Laurent</v>
      </c>
      <c r="D437" s="1" t="str">
        <f>"QC"</f>
        <v>QC</v>
      </c>
      <c r="E437" s="1" t="str">
        <f>"Quebec"</f>
        <v>Quebec</v>
      </c>
      <c r="F437" s="1" t="str">
        <f>"Arris"</f>
        <v>Arris</v>
      </c>
      <c r="G437" s="1" t="str">
        <f>"Ouhab"</f>
        <v>Ouhab</v>
      </c>
      <c r="H437" s="1" t="str">
        <f>"0196339"</f>
        <v>0196339</v>
      </c>
      <c r="I437" s="1" t="str">
        <f t="shared" si="54"/>
        <v>M</v>
      </c>
      <c r="J437" s="2">
        <v>2006</v>
      </c>
      <c r="K437" s="1" t="str">
        <f>"3k"</f>
        <v>3k</v>
      </c>
      <c r="L437" s="1" t="str">
        <f t="shared" si="47"/>
        <v>U14</v>
      </c>
      <c r="M437" s="1" t="str">
        <f>"-66"</f>
        <v>-66</v>
      </c>
      <c r="N437" s="1" t="str">
        <f>""</f>
        <v/>
      </c>
      <c r="O437" s="1">
        <v>1</v>
      </c>
      <c r="P437" s="1"/>
      <c r="Q437" t="s">
        <v>265</v>
      </c>
    </row>
    <row r="438" spans="1:17" x14ac:dyDescent="0.25">
      <c r="A438" t="str">
        <f>"2018-10-09 21:45:39"</f>
        <v>2018-10-09 21:45:39</v>
      </c>
      <c r="B438" s="1" t="str">
        <f>""</f>
        <v/>
      </c>
      <c r="C438" s="1" t="str">
        <f>"AJAX Budokan"</f>
        <v>AJAX Budokan</v>
      </c>
      <c r="D438" s="1" t="str">
        <f>"ON"</f>
        <v>ON</v>
      </c>
      <c r="E438" s="1" t="str">
        <f>"Ontario"</f>
        <v>Ontario</v>
      </c>
      <c r="F438" s="1" t="str">
        <f>"Matthew"</f>
        <v>Matthew</v>
      </c>
      <c r="G438" s="1" t="str">
        <f>"Serrano"</f>
        <v>Serrano</v>
      </c>
      <c r="H438" s="1" t="str">
        <f>"0187784"</f>
        <v>0187784</v>
      </c>
      <c r="I438" s="1" t="str">
        <f t="shared" si="54"/>
        <v>M</v>
      </c>
      <c r="J438" s="2">
        <v>2006</v>
      </c>
      <c r="K438" s="1" t="str">
        <f>"2k"</f>
        <v>2k</v>
      </c>
      <c r="L438" s="1" t="str">
        <f t="shared" si="47"/>
        <v>U14</v>
      </c>
      <c r="M438" s="1" t="str">
        <f>"-66"</f>
        <v>-66</v>
      </c>
      <c r="N438" s="1" t="str">
        <f>""</f>
        <v/>
      </c>
      <c r="O438" s="1">
        <v>1</v>
      </c>
      <c r="P438" s="1"/>
      <c r="Q438" t="s">
        <v>265</v>
      </c>
    </row>
    <row r="439" spans="1:17" x14ac:dyDescent="0.25">
      <c r="A439" t="str">
        <f>"2018-10-15 22:18:08"</f>
        <v>2018-10-15 22:18:08</v>
      </c>
      <c r="B439" s="1" t="str">
        <f>""</f>
        <v/>
      </c>
      <c r="C439" s="1" t="str">
        <f>"Club de judo Olympique"</f>
        <v>Club de judo Olympique</v>
      </c>
      <c r="D439" s="1" t="str">
        <f>"QC"</f>
        <v>QC</v>
      </c>
      <c r="E439" s="1" t="str">
        <f>"Quebec"</f>
        <v>Quebec</v>
      </c>
      <c r="F439" s="1" t="str">
        <f>"Rayan"</f>
        <v>Rayan</v>
      </c>
      <c r="G439" s="1" t="str">
        <f>"Bélal"</f>
        <v>Bélal</v>
      </c>
      <c r="H439" s="1" t="str">
        <f>"0185407"</f>
        <v>0185407</v>
      </c>
      <c r="I439" s="1" t="str">
        <f t="shared" si="54"/>
        <v>M</v>
      </c>
      <c r="J439" s="2">
        <v>2005</v>
      </c>
      <c r="K439" s="1" t="str">
        <f>"3k+"</f>
        <v>3k+</v>
      </c>
      <c r="L439" s="1" t="str">
        <f t="shared" ref="L439:L444" si="55">"U16"</f>
        <v>U16</v>
      </c>
      <c r="M439" s="1" t="str">
        <f t="shared" ref="M439:M444" si="56">"+73"</f>
        <v>+73</v>
      </c>
      <c r="N439" s="1" t="str">
        <f>""</f>
        <v/>
      </c>
      <c r="O439" s="1">
        <v>1</v>
      </c>
      <c r="P439" s="1"/>
      <c r="Q439" t="s">
        <v>266</v>
      </c>
    </row>
    <row r="440" spans="1:17" x14ac:dyDescent="0.25">
      <c r="A440" t="str">
        <f>"2018-10-17 16:12:38"</f>
        <v>2018-10-17 16:12:38</v>
      </c>
      <c r="B440" s="1" t="str">
        <f>""</f>
        <v/>
      </c>
      <c r="C440" s="1" t="str">
        <f>"Hiro's Judo Club"</f>
        <v>Hiro's Judo Club</v>
      </c>
      <c r="D440" s="1" t="str">
        <f>"AB"</f>
        <v>AB</v>
      </c>
      <c r="E440" s="1" t="str">
        <f>"Alberta"</f>
        <v>Alberta</v>
      </c>
      <c r="F440" s="1" t="str">
        <f>"Shion"</f>
        <v>Shion</v>
      </c>
      <c r="G440" s="1" t="str">
        <f>"Crook"</f>
        <v>Crook</v>
      </c>
      <c r="H440" s="1" t="str">
        <f>"0178624"</f>
        <v>0178624</v>
      </c>
      <c r="I440" s="1" t="str">
        <f t="shared" si="54"/>
        <v>M</v>
      </c>
      <c r="J440" s="2">
        <v>2004</v>
      </c>
      <c r="K440" s="1" t="str">
        <f>"2k"</f>
        <v>2k</v>
      </c>
      <c r="L440" s="1" t="str">
        <f t="shared" si="55"/>
        <v>U16</v>
      </c>
      <c r="M440" s="1" t="str">
        <f t="shared" si="56"/>
        <v>+73</v>
      </c>
      <c r="N440" s="1" t="str">
        <f>""</f>
        <v/>
      </c>
      <c r="O440" s="1">
        <v>1</v>
      </c>
      <c r="P440" s="1"/>
      <c r="Q440" t="s">
        <v>266</v>
      </c>
    </row>
    <row r="441" spans="1:17" x14ac:dyDescent="0.25">
      <c r="A441" t="str">
        <f>"2018-10-10 22:57:52"</f>
        <v>2018-10-10 22:57:52</v>
      </c>
      <c r="B441" s="1" t="str">
        <f>""</f>
        <v/>
      </c>
      <c r="C441" s="1" t="str">
        <f>"Club de judo Olympique"</f>
        <v>Club de judo Olympique</v>
      </c>
      <c r="D441" s="1" t="str">
        <f>"QC"</f>
        <v>QC</v>
      </c>
      <c r="E441" s="1" t="str">
        <f>"Quebec"</f>
        <v>Quebec</v>
      </c>
      <c r="F441" s="1" t="str">
        <f>"Jamal"</f>
        <v>Jamal</v>
      </c>
      <c r="G441" s="1" t="str">
        <f>"Kane"</f>
        <v>Kane</v>
      </c>
      <c r="H441" s="1" t="str">
        <f>"0226662"</f>
        <v>0226662</v>
      </c>
      <c r="I441" s="1" t="str">
        <f t="shared" si="54"/>
        <v>M</v>
      </c>
      <c r="J441" s="2">
        <v>2005</v>
      </c>
      <c r="K441" s="1" t="str">
        <f>"3k"</f>
        <v>3k</v>
      </c>
      <c r="L441" s="1" t="str">
        <f t="shared" si="55"/>
        <v>U16</v>
      </c>
      <c r="M441" s="1" t="str">
        <f t="shared" si="56"/>
        <v>+73</v>
      </c>
      <c r="N441" s="1" t="str">
        <f>""</f>
        <v/>
      </c>
      <c r="O441" s="1">
        <v>1</v>
      </c>
      <c r="P441" s="1"/>
      <c r="Q441" t="s">
        <v>266</v>
      </c>
    </row>
    <row r="442" spans="1:17" x14ac:dyDescent="0.25">
      <c r="A442" t="str">
        <f>"2018-10-10 10:02:21"</f>
        <v>2018-10-10 10:02:21</v>
      </c>
      <c r="B442" s="1" t="str">
        <f>""</f>
        <v/>
      </c>
      <c r="C442" s="1" t="str">
        <f>"Club de Judo Shawinigan"</f>
        <v>Club de Judo Shawinigan</v>
      </c>
      <c r="D442" s="1" t="str">
        <f>"QC"</f>
        <v>QC</v>
      </c>
      <c r="E442" s="1" t="str">
        <f>"Quebec"</f>
        <v>Quebec</v>
      </c>
      <c r="F442" s="1" t="str">
        <f>"Jordan"</f>
        <v>Jordan</v>
      </c>
      <c r="G442" s="1" t="str">
        <f>"Marcouiller"</f>
        <v>Marcouiller</v>
      </c>
      <c r="H442" s="1" t="str">
        <f>"0189450"</f>
        <v>0189450</v>
      </c>
      <c r="I442" s="1" t="str">
        <f t="shared" si="54"/>
        <v>M</v>
      </c>
      <c r="J442" s="2">
        <v>2005</v>
      </c>
      <c r="K442" s="1" t="str">
        <f>"3k"</f>
        <v>3k</v>
      </c>
      <c r="L442" s="1" t="str">
        <f t="shared" si="55"/>
        <v>U16</v>
      </c>
      <c r="M442" s="1" t="str">
        <f t="shared" si="56"/>
        <v>+73</v>
      </c>
      <c r="N442" s="1" t="str">
        <f>""</f>
        <v/>
      </c>
      <c r="O442" s="1">
        <v>1</v>
      </c>
      <c r="P442" s="1"/>
      <c r="Q442" t="s">
        <v>266</v>
      </c>
    </row>
    <row r="443" spans="1:17" x14ac:dyDescent="0.25">
      <c r="A443" t="str">
        <f>"2018-10-25 23:17:30"</f>
        <v>2018-10-25 23:17:30</v>
      </c>
      <c r="B443" s="1" t="str">
        <f>""</f>
        <v/>
      </c>
      <c r="C443" s="1" t="str">
        <f>"Club de judo St-Jean Bosco de Hull"</f>
        <v>Club de judo St-Jean Bosco de Hull</v>
      </c>
      <c r="D443" s="1" t="str">
        <f>"QC"</f>
        <v>QC</v>
      </c>
      <c r="E443" s="1" t="str">
        <f>"Quebec"</f>
        <v>Quebec</v>
      </c>
      <c r="F443" s="1" t="str">
        <f>"Pascal"</f>
        <v>Pascal</v>
      </c>
      <c r="G443" s="1" t="str">
        <f>"Neron"</f>
        <v>Neron</v>
      </c>
      <c r="H443" s="1" t="str">
        <f>"0214323"</f>
        <v>0214323</v>
      </c>
      <c r="I443" s="1" t="str">
        <f t="shared" si="54"/>
        <v>M</v>
      </c>
      <c r="J443" s="2">
        <v>2004</v>
      </c>
      <c r="K443" s="1" t="str">
        <f>"2k"</f>
        <v>2k</v>
      </c>
      <c r="L443" s="1" t="str">
        <f t="shared" si="55"/>
        <v>U16</v>
      </c>
      <c r="M443" s="1" t="str">
        <f t="shared" si="56"/>
        <v>+73</v>
      </c>
      <c r="N443" s="1" t="str">
        <f>""</f>
        <v/>
      </c>
      <c r="O443" s="1">
        <v>1</v>
      </c>
      <c r="P443" s="1"/>
      <c r="Q443" t="s">
        <v>266</v>
      </c>
    </row>
    <row r="444" spans="1:17" x14ac:dyDescent="0.25">
      <c r="A444" t="str">
        <f>"2018-10-07 09:08:21"</f>
        <v>2018-10-07 09:08:21</v>
      </c>
      <c r="B444" s="1" t="str">
        <f>""</f>
        <v/>
      </c>
      <c r="C444" s="1" t="str">
        <f>"Toronto Judo Kai"</f>
        <v>Toronto Judo Kai</v>
      </c>
      <c r="D444" s="1" t="str">
        <f>"ON"</f>
        <v>ON</v>
      </c>
      <c r="E444" s="1" t="str">
        <f>"Ontario"</f>
        <v>Ontario</v>
      </c>
      <c r="F444" s="1" t="str">
        <f>"Joseph"</f>
        <v>Joseph</v>
      </c>
      <c r="G444" s="1" t="str">
        <f>"Popov"</f>
        <v>Popov</v>
      </c>
      <c r="H444" s="1" t="str">
        <f>"0195478"</f>
        <v>0195478</v>
      </c>
      <c r="I444" s="1" t="str">
        <f t="shared" si="54"/>
        <v>M</v>
      </c>
      <c r="J444" s="2">
        <v>2005</v>
      </c>
      <c r="K444" s="1" t="str">
        <f>"2k"</f>
        <v>2k</v>
      </c>
      <c r="L444" s="1" t="str">
        <f t="shared" si="55"/>
        <v>U16</v>
      </c>
      <c r="M444" s="1" t="str">
        <f t="shared" si="56"/>
        <v>+73</v>
      </c>
      <c r="N444" s="1" t="str">
        <f>""</f>
        <v/>
      </c>
      <c r="O444" s="1">
        <v>1</v>
      </c>
      <c r="P444" s="1"/>
      <c r="Q444" t="s">
        <v>266</v>
      </c>
    </row>
    <row r="445" spans="1:17" x14ac:dyDescent="0.25">
      <c r="A445" t="str">
        <f>"2018-10-12 19:46:07"</f>
        <v>2018-10-12 19:46:07</v>
      </c>
      <c r="B445" s="1" t="str">
        <f>""</f>
        <v/>
      </c>
      <c r="C445" s="1" t="str">
        <f>"Toronto Judo Kai"</f>
        <v>Toronto Judo Kai</v>
      </c>
      <c r="D445" s="1" t="str">
        <f>"ON"</f>
        <v>ON</v>
      </c>
      <c r="E445" s="1" t="str">
        <f>"Ontario"</f>
        <v>Ontario</v>
      </c>
      <c r="F445" s="1" t="str">
        <f>"Asia"</f>
        <v>Asia</v>
      </c>
      <c r="G445" s="1" t="str">
        <f>"Douglas"</f>
        <v>Douglas</v>
      </c>
      <c r="H445" s="1" t="str">
        <f>"0187153"</f>
        <v>0187153</v>
      </c>
      <c r="I445" s="1" t="str">
        <f>"F"</f>
        <v>F</v>
      </c>
      <c r="J445" s="2">
        <v>2004</v>
      </c>
      <c r="K445" s="1" t="str">
        <f>"1k"</f>
        <v>1k</v>
      </c>
      <c r="L445" s="1" t="s">
        <v>111</v>
      </c>
      <c r="M445" s="1" t="str">
        <f>"+70"</f>
        <v>+70</v>
      </c>
      <c r="N445" s="1" t="str">
        <f>""</f>
        <v/>
      </c>
      <c r="O445" s="1">
        <v>2</v>
      </c>
      <c r="P445" s="1"/>
      <c r="Q445" t="s">
        <v>267</v>
      </c>
    </row>
    <row r="446" spans="1:17" x14ac:dyDescent="0.25">
      <c r="A446" t="str">
        <f>"2018-10-20 10:09:06"</f>
        <v>2018-10-20 10:09:06</v>
      </c>
      <c r="B446" s="1" t="str">
        <f>""</f>
        <v/>
      </c>
      <c r="C446" s="1" t="str">
        <f>"Tani Koi Judo Club"</f>
        <v>Tani Koi Judo Club</v>
      </c>
      <c r="D446" s="1" t="str">
        <f>"NB"</f>
        <v>NB</v>
      </c>
      <c r="E446" s="1" t="str">
        <f>"New Brunswick"</f>
        <v>New Brunswick</v>
      </c>
      <c r="F446" s="1" t="str">
        <f>"Brandi"</f>
        <v>Brandi</v>
      </c>
      <c r="G446" s="1" t="str">
        <f>"Lingley"</f>
        <v>Lingley</v>
      </c>
      <c r="H446" s="1" t="str">
        <f>"0207894"</f>
        <v>0207894</v>
      </c>
      <c r="I446" s="1" t="str">
        <f>"F"</f>
        <v>F</v>
      </c>
      <c r="J446" s="2">
        <v>2005</v>
      </c>
      <c r="K446" s="1" t="str">
        <f>"3k+"</f>
        <v>3k+</v>
      </c>
      <c r="L446" s="1" t="str">
        <f t="shared" ref="L446:L460" si="57">"U16"</f>
        <v>U16</v>
      </c>
      <c r="M446" s="1" t="str">
        <f>"+70"</f>
        <v>+70</v>
      </c>
      <c r="N446" s="1" t="str">
        <f>""</f>
        <v/>
      </c>
      <c r="O446" s="1">
        <v>2</v>
      </c>
      <c r="P446" s="1"/>
      <c r="Q446" t="s">
        <v>267</v>
      </c>
    </row>
    <row r="447" spans="1:17" x14ac:dyDescent="0.25">
      <c r="A447" t="str">
        <f>"2018-10-12 19:52:00"</f>
        <v>2018-10-12 19:52:00</v>
      </c>
      <c r="B447" s="1" t="str">
        <f>""</f>
        <v/>
      </c>
      <c r="C447" s="1" t="str">
        <f>"Tsunami Martial Arts Club"</f>
        <v>Tsunami Martial Arts Club</v>
      </c>
      <c r="D447" s="1" t="str">
        <f>"ON"</f>
        <v>ON</v>
      </c>
      <c r="E447" s="1" t="str">
        <f>"Ontario"</f>
        <v>Ontario</v>
      </c>
      <c r="F447" s="1" t="str">
        <f>"Seraphine"</f>
        <v>Seraphine</v>
      </c>
      <c r="G447" s="1" t="str">
        <f>"Kautz"</f>
        <v>Kautz</v>
      </c>
      <c r="H447" s="1" t="str">
        <f>"0240390"</f>
        <v>0240390</v>
      </c>
      <c r="I447" s="1" t="str">
        <f>"F"</f>
        <v>F</v>
      </c>
      <c r="J447" s="2">
        <v>2005</v>
      </c>
      <c r="K447" s="1" t="str">
        <f>"3k"</f>
        <v>3k</v>
      </c>
      <c r="L447" s="1" t="str">
        <f t="shared" si="57"/>
        <v>U16</v>
      </c>
      <c r="M447" s="1" t="str">
        <f>"-36"</f>
        <v>-36</v>
      </c>
      <c r="N447" s="1" t="str">
        <f>""</f>
        <v/>
      </c>
      <c r="O447" s="1">
        <v>1</v>
      </c>
      <c r="P447" s="1"/>
      <c r="Q447" t="s">
        <v>268</v>
      </c>
    </row>
    <row r="448" spans="1:17" x14ac:dyDescent="0.25">
      <c r="A448" t="str">
        <f>"2018-10-17 20:01:36"</f>
        <v>2018-10-17 20:01:36</v>
      </c>
      <c r="B448" s="1" t="str">
        <f>""</f>
        <v/>
      </c>
      <c r="C448" s="1" t="str">
        <f>"Club de judo Torakai"</f>
        <v>Club de judo Torakai</v>
      </c>
      <c r="D448" s="1" t="str">
        <f>"QC"</f>
        <v>QC</v>
      </c>
      <c r="E448" s="1" t="str">
        <f>"Quebec"</f>
        <v>Quebec</v>
      </c>
      <c r="F448" s="1" t="str">
        <f>"Marie-Anne"</f>
        <v>Marie-Anne</v>
      </c>
      <c r="G448" s="1" t="str">
        <f>"Paul"</f>
        <v>Paul</v>
      </c>
      <c r="H448" s="1" t="str">
        <f>"0224606"</f>
        <v>0224606</v>
      </c>
      <c r="I448" s="1" t="str">
        <f>"F"</f>
        <v>F</v>
      </c>
      <c r="J448" s="2">
        <v>2005</v>
      </c>
      <c r="K448" s="1" t="str">
        <f>"3k"</f>
        <v>3k</v>
      </c>
      <c r="L448" s="1" t="str">
        <f t="shared" si="57"/>
        <v>U16</v>
      </c>
      <c r="M448" s="1" t="str">
        <f>"-36"</f>
        <v>-36</v>
      </c>
      <c r="N448" s="1" t="str">
        <f>""</f>
        <v/>
      </c>
      <c r="O448" s="1">
        <v>1</v>
      </c>
      <c r="P448" s="1"/>
      <c r="Q448" t="s">
        <v>268</v>
      </c>
    </row>
    <row r="449" spans="1:17" x14ac:dyDescent="0.25">
      <c r="B449" s="1" t="str">
        <f>""</f>
        <v/>
      </c>
      <c r="C449" s="1" t="str">
        <f>"Olympic Judo Centre"</f>
        <v>Olympic Judo Centre</v>
      </c>
      <c r="D449" s="1" t="str">
        <f>"ON"</f>
        <v>ON</v>
      </c>
      <c r="E449" s="1" t="str">
        <f>"Ontario"</f>
        <v>Ontario</v>
      </c>
      <c r="F449" s="1" t="str">
        <f>"Rza"</f>
        <v>Rza</v>
      </c>
      <c r="G449" s="1" t="str">
        <f>"Abdullayev"</f>
        <v>Abdullayev</v>
      </c>
      <c r="H449" s="1" t="str">
        <f>"0217630"</f>
        <v>0217630</v>
      </c>
      <c r="I449" s="1" t="str">
        <f t="shared" ref="I449:I465" si="58">"M"</f>
        <v>M</v>
      </c>
      <c r="J449" s="1">
        <v>2005</v>
      </c>
      <c r="K449" s="1" t="s">
        <v>73</v>
      </c>
      <c r="L449" s="1" t="str">
        <f t="shared" si="57"/>
        <v>U16</v>
      </c>
      <c r="M449" s="1" t="str">
        <f t="shared" ref="M449:M464" si="59">"-38"</f>
        <v>-38</v>
      </c>
      <c r="N449" s="1" t="str">
        <f>""</f>
        <v/>
      </c>
      <c r="O449" s="1"/>
      <c r="P449" s="1"/>
      <c r="Q449" t="s">
        <v>269</v>
      </c>
    </row>
    <row r="450" spans="1:17" x14ac:dyDescent="0.25">
      <c r="A450" t="str">
        <f>"2018-10-20 09:48:48"</f>
        <v>2018-10-20 09:48:48</v>
      </c>
      <c r="B450" s="1" t="str">
        <f>""</f>
        <v/>
      </c>
      <c r="C450" s="1" t="str">
        <f>"Dojo Perrot Shima"</f>
        <v>Dojo Perrot Shima</v>
      </c>
      <c r="D450" s="1" t="str">
        <f>"QC"</f>
        <v>QC</v>
      </c>
      <c r="E450" s="1" t="str">
        <f>"Quebec"</f>
        <v>Quebec</v>
      </c>
      <c r="F450" s="1" t="str">
        <f>"Felix"</f>
        <v>Felix</v>
      </c>
      <c r="G450" s="1" t="str">
        <f>"Berube"</f>
        <v>Berube</v>
      </c>
      <c r="H450" s="1" t="str">
        <f>"0193688"</f>
        <v>0193688</v>
      </c>
      <c r="I450" s="1" t="str">
        <f t="shared" si="58"/>
        <v>M</v>
      </c>
      <c r="J450" s="2">
        <v>2005</v>
      </c>
      <c r="K450" s="1" t="str">
        <f>"2k+"</f>
        <v>2k+</v>
      </c>
      <c r="L450" s="1" t="str">
        <f t="shared" si="57"/>
        <v>U16</v>
      </c>
      <c r="M450" s="1" t="str">
        <f t="shared" si="59"/>
        <v>-38</v>
      </c>
      <c r="N450" s="1" t="str">
        <f>""</f>
        <v/>
      </c>
      <c r="O450" s="1">
        <v>1</v>
      </c>
      <c r="P450" s="1"/>
      <c r="Q450" t="s">
        <v>269</v>
      </c>
    </row>
    <row r="451" spans="1:17" x14ac:dyDescent="0.25">
      <c r="A451" t="str">
        <f>"2018-10-20 09:48:48"</f>
        <v>2018-10-20 09:48:48</v>
      </c>
      <c r="B451" s="1" t="str">
        <f>""</f>
        <v/>
      </c>
      <c r="C451" s="1" t="str">
        <f>"Club de Judo Boucherville inc."</f>
        <v>Club de Judo Boucherville inc.</v>
      </c>
      <c r="D451" s="1" t="str">
        <f>"QC"</f>
        <v>QC</v>
      </c>
      <c r="E451" s="1" t="str">
        <f>"Quebec"</f>
        <v>Quebec</v>
      </c>
      <c r="F451" s="1" t="str">
        <f>"Sofiane"</f>
        <v>Sofiane</v>
      </c>
      <c r="G451" s="1" t="str">
        <f>"Bousbiat"</f>
        <v>Bousbiat</v>
      </c>
      <c r="H451" s="1" t="str">
        <f>"0188717"</f>
        <v>0188717</v>
      </c>
      <c r="I451" s="1" t="str">
        <f t="shared" si="58"/>
        <v>M</v>
      </c>
      <c r="J451" s="2">
        <v>2005</v>
      </c>
      <c r="K451" s="1" t="str">
        <f>"2k"</f>
        <v>2k</v>
      </c>
      <c r="L451" s="1" t="str">
        <f t="shared" si="57"/>
        <v>U16</v>
      </c>
      <c r="M451" s="1" t="str">
        <f t="shared" si="59"/>
        <v>-38</v>
      </c>
      <c r="N451" s="1" t="str">
        <f>""</f>
        <v/>
      </c>
      <c r="O451" s="1">
        <v>1</v>
      </c>
      <c r="P451" s="1"/>
      <c r="Q451" t="s">
        <v>269</v>
      </c>
    </row>
    <row r="452" spans="1:17" x14ac:dyDescent="0.25">
      <c r="A452" t="str">
        <f>"2018-10-05 17:06:47"</f>
        <v>2018-10-05 17:06:47</v>
      </c>
      <c r="B452" s="1" t="str">
        <f>""</f>
        <v/>
      </c>
      <c r="C452" s="1" t="str">
        <f>"Toronto Judo Kai"</f>
        <v>Toronto Judo Kai</v>
      </c>
      <c r="D452" s="1" t="str">
        <f>"ON"</f>
        <v>ON</v>
      </c>
      <c r="E452" s="1" t="str">
        <f>"Ontario"</f>
        <v>Ontario</v>
      </c>
      <c r="F452" s="1" t="str">
        <f>"Sazont"</f>
        <v>Sazont</v>
      </c>
      <c r="G452" s="1" t="str">
        <f>"Brezgin"</f>
        <v>Brezgin</v>
      </c>
      <c r="H452" s="1" t="str">
        <f>"0192502"</f>
        <v>0192502</v>
      </c>
      <c r="I452" s="1" t="str">
        <f t="shared" si="58"/>
        <v>M</v>
      </c>
      <c r="J452" s="2">
        <v>2005</v>
      </c>
      <c r="K452" s="1" t="str">
        <f>"2k"</f>
        <v>2k</v>
      </c>
      <c r="L452" s="1" t="str">
        <f t="shared" si="57"/>
        <v>U16</v>
      </c>
      <c r="M452" s="1" t="str">
        <f t="shared" si="59"/>
        <v>-38</v>
      </c>
      <c r="N452" s="1" t="str">
        <f>""</f>
        <v/>
      </c>
      <c r="O452" s="1">
        <v>1</v>
      </c>
      <c r="P452" s="1"/>
      <c r="Q452" t="s">
        <v>269</v>
      </c>
    </row>
    <row r="453" spans="1:17" x14ac:dyDescent="0.25">
      <c r="A453" t="str">
        <f>"2018-10-20 09:48:48"</f>
        <v>2018-10-20 09:48:48</v>
      </c>
      <c r="B453" s="1" t="str">
        <f>""</f>
        <v/>
      </c>
      <c r="C453" s="1" t="str">
        <f>"Club de judo Vallée du Richelieu"</f>
        <v>Club de judo Vallée du Richelieu</v>
      </c>
      <c r="D453" s="1" t="str">
        <f t="shared" ref="D453:D458" si="60">"QC"</f>
        <v>QC</v>
      </c>
      <c r="E453" s="1" t="str">
        <f t="shared" ref="E453:E458" si="61">"Quebec"</f>
        <v>Quebec</v>
      </c>
      <c r="F453" s="1" t="str">
        <f>"Antoine"</f>
        <v>Antoine</v>
      </c>
      <c r="G453" s="1" t="str">
        <f>"Desgranges"</f>
        <v>Desgranges</v>
      </c>
      <c r="H453" s="1" t="str">
        <f>"0203056"</f>
        <v>0203056</v>
      </c>
      <c r="I453" s="1" t="str">
        <f t="shared" si="58"/>
        <v>M</v>
      </c>
      <c r="J453" s="2">
        <v>2005</v>
      </c>
      <c r="K453" s="1" t="str">
        <f>"2k"</f>
        <v>2k</v>
      </c>
      <c r="L453" s="1" t="str">
        <f t="shared" si="57"/>
        <v>U16</v>
      </c>
      <c r="M453" s="1" t="str">
        <f t="shared" si="59"/>
        <v>-38</v>
      </c>
      <c r="N453" s="1" t="str">
        <f>""</f>
        <v/>
      </c>
      <c r="O453" s="1">
        <v>1</v>
      </c>
      <c r="P453" s="1"/>
      <c r="Q453" t="s">
        <v>269</v>
      </c>
    </row>
    <row r="454" spans="1:17" x14ac:dyDescent="0.25">
      <c r="A454" t="str">
        <f>"2018-10-20 22:11:02"</f>
        <v>2018-10-20 22:11:02</v>
      </c>
      <c r="B454" s="1" t="str">
        <f>""</f>
        <v/>
      </c>
      <c r="C454" s="1" t="str">
        <f>"Dojo Zenshin"</f>
        <v>Dojo Zenshin</v>
      </c>
      <c r="D454" s="1" t="str">
        <f t="shared" si="60"/>
        <v>QC</v>
      </c>
      <c r="E454" s="1" t="str">
        <f t="shared" si="61"/>
        <v>Quebec</v>
      </c>
      <c r="F454" s="1" t="str">
        <f>"William"</f>
        <v>William</v>
      </c>
      <c r="G454" s="1" t="str">
        <f>"Dominique"</f>
        <v>Dominique</v>
      </c>
      <c r="H454" s="1" t="str">
        <f>"0206360"</f>
        <v>0206360</v>
      </c>
      <c r="I454" s="1" t="str">
        <f t="shared" si="58"/>
        <v>M</v>
      </c>
      <c r="J454" s="2">
        <v>2005</v>
      </c>
      <c r="K454" s="1" t="str">
        <f>"3k"</f>
        <v>3k</v>
      </c>
      <c r="L454" s="1" t="str">
        <f t="shared" si="57"/>
        <v>U16</v>
      </c>
      <c r="M454" s="1" t="str">
        <f t="shared" si="59"/>
        <v>-38</v>
      </c>
      <c r="N454" s="1" t="str">
        <f>""</f>
        <v/>
      </c>
      <c r="O454" s="1">
        <v>1</v>
      </c>
      <c r="P454" s="1"/>
      <c r="Q454" t="s">
        <v>269</v>
      </c>
    </row>
    <row r="455" spans="1:17" x14ac:dyDescent="0.25">
      <c r="A455" t="str">
        <f>"2018-10-17 19:52:48"</f>
        <v>2018-10-17 19:52:48</v>
      </c>
      <c r="B455" s="1" t="str">
        <f>""</f>
        <v/>
      </c>
      <c r="C455" s="1" t="str">
        <f>"Club de judo Saint-Hyacinthe Inc."</f>
        <v>Club de judo Saint-Hyacinthe Inc.</v>
      </c>
      <c r="D455" s="1" t="str">
        <f t="shared" si="60"/>
        <v>QC</v>
      </c>
      <c r="E455" s="1" t="str">
        <f t="shared" si="61"/>
        <v>Quebec</v>
      </c>
      <c r="F455" s="1" t="str">
        <f>"Victor"</f>
        <v>Victor</v>
      </c>
      <c r="G455" s="1" t="str">
        <f>"Gamet"</f>
        <v>Gamet</v>
      </c>
      <c r="H455" s="1" t="str">
        <f>"0208369"</f>
        <v>0208369</v>
      </c>
      <c r="I455" s="1" t="str">
        <f t="shared" si="58"/>
        <v>M</v>
      </c>
      <c r="J455" s="2">
        <v>2005</v>
      </c>
      <c r="K455" s="1" t="str">
        <f>"3k"</f>
        <v>3k</v>
      </c>
      <c r="L455" s="1" t="str">
        <f t="shared" si="57"/>
        <v>U16</v>
      </c>
      <c r="M455" s="1" t="str">
        <f t="shared" si="59"/>
        <v>-38</v>
      </c>
      <c r="N455" s="1" t="str">
        <f>""</f>
        <v/>
      </c>
      <c r="O455" s="1">
        <v>1</v>
      </c>
      <c r="P455" s="1"/>
      <c r="Q455" t="s">
        <v>269</v>
      </c>
    </row>
    <row r="456" spans="1:17" x14ac:dyDescent="0.25">
      <c r="A456" t="str">
        <f>"2018-10-19 13:42:45"</f>
        <v>2018-10-19 13:42:45</v>
      </c>
      <c r="B456" s="1" t="str">
        <f>""</f>
        <v/>
      </c>
      <c r="C456" s="1" t="str">
        <f>"Club de judo Seiko"</f>
        <v>Club de judo Seiko</v>
      </c>
      <c r="D456" s="1" t="str">
        <f t="shared" si="60"/>
        <v>QC</v>
      </c>
      <c r="E456" s="1" t="str">
        <f t="shared" si="61"/>
        <v>Quebec</v>
      </c>
      <c r="F456" s="1" t="str">
        <f>"Thomas-Louis"</f>
        <v>Thomas-Louis</v>
      </c>
      <c r="G456" s="1" t="str">
        <f>"Gaudreau"</f>
        <v>Gaudreau</v>
      </c>
      <c r="H456" s="1" t="str">
        <f>"0166917"</f>
        <v>0166917</v>
      </c>
      <c r="I456" s="1" t="str">
        <f t="shared" si="58"/>
        <v>M</v>
      </c>
      <c r="J456" s="2">
        <v>2004</v>
      </c>
      <c r="K456" s="1" t="str">
        <f>"3k"</f>
        <v>3k</v>
      </c>
      <c r="L456" s="1" t="str">
        <f t="shared" si="57"/>
        <v>U16</v>
      </c>
      <c r="M456" s="1" t="str">
        <f t="shared" si="59"/>
        <v>-38</v>
      </c>
      <c r="N456" s="1" t="str">
        <f>""</f>
        <v/>
      </c>
      <c r="O456" s="1">
        <v>1</v>
      </c>
      <c r="P456" s="1"/>
      <c r="Q456" t="s">
        <v>269</v>
      </c>
    </row>
    <row r="457" spans="1:17" x14ac:dyDescent="0.25">
      <c r="A457" t="str">
        <f>"2018-10-21 02:04:48"</f>
        <v>2018-10-21 02:04:48</v>
      </c>
      <c r="B457" s="1" t="str">
        <f>""</f>
        <v/>
      </c>
      <c r="C457" s="1" t="str">
        <f>"Club de judo Torii"</f>
        <v>Club de judo Torii</v>
      </c>
      <c r="D457" s="1" t="str">
        <f t="shared" si="60"/>
        <v>QC</v>
      </c>
      <c r="E457" s="1" t="str">
        <f t="shared" si="61"/>
        <v>Quebec</v>
      </c>
      <c r="F457" s="1" t="str">
        <f>"Olivier"</f>
        <v>Olivier</v>
      </c>
      <c r="G457" s="1" t="str">
        <f>"Gaudreault"</f>
        <v>Gaudreault</v>
      </c>
      <c r="H457" s="1" t="str">
        <f>"0205909"</f>
        <v>0205909</v>
      </c>
      <c r="I457" s="1" t="str">
        <f t="shared" si="58"/>
        <v>M</v>
      </c>
      <c r="J457" s="2">
        <v>2005</v>
      </c>
      <c r="K457" s="1" t="str">
        <f>"3k+"</f>
        <v>3k+</v>
      </c>
      <c r="L457" s="1" t="str">
        <f t="shared" si="57"/>
        <v>U16</v>
      </c>
      <c r="M457" s="1" t="str">
        <f t="shared" si="59"/>
        <v>-38</v>
      </c>
      <c r="N457" s="1" t="str">
        <f>""</f>
        <v/>
      </c>
      <c r="O457" s="1">
        <v>1</v>
      </c>
      <c r="P457" s="1"/>
      <c r="Q457" t="s">
        <v>269</v>
      </c>
    </row>
    <row r="458" spans="1:17" x14ac:dyDescent="0.25">
      <c r="A458" t="str">
        <f>"2018-10-20 09:48:48"</f>
        <v>2018-10-20 09:48:48</v>
      </c>
      <c r="B458" s="1" t="str">
        <f>""</f>
        <v/>
      </c>
      <c r="C458" s="1" t="str">
        <f>"Club de judo Torakai"</f>
        <v>Club de judo Torakai</v>
      </c>
      <c r="D458" s="1" t="str">
        <f t="shared" si="60"/>
        <v>QC</v>
      </c>
      <c r="E458" s="1" t="str">
        <f t="shared" si="61"/>
        <v>Quebec</v>
      </c>
      <c r="F458" s="1" t="str">
        <f>"Hugo"</f>
        <v>Hugo</v>
      </c>
      <c r="G458" s="1" t="str">
        <f>"Levacher"</f>
        <v>Levacher</v>
      </c>
      <c r="H458" s="1" t="str">
        <f>"0199445"</f>
        <v>0199445</v>
      </c>
      <c r="I458" s="1" t="str">
        <f t="shared" si="58"/>
        <v>M</v>
      </c>
      <c r="J458" s="2">
        <v>2005</v>
      </c>
      <c r="K458" s="1" t="str">
        <f>"2k"</f>
        <v>2k</v>
      </c>
      <c r="L458" s="1" t="str">
        <f t="shared" si="57"/>
        <v>U16</v>
      </c>
      <c r="M458" s="1" t="str">
        <f t="shared" si="59"/>
        <v>-38</v>
      </c>
      <c r="N458" s="1" t="str">
        <f>""</f>
        <v/>
      </c>
      <c r="O458" s="1">
        <v>1</v>
      </c>
      <c r="P458" s="1"/>
      <c r="Q458" t="s">
        <v>269</v>
      </c>
    </row>
    <row r="459" spans="1:17" x14ac:dyDescent="0.25">
      <c r="A459" t="str">
        <f>"2018-10-15 20:23:18"</f>
        <v>2018-10-15 20:23:18</v>
      </c>
      <c r="B459" s="1" t="str">
        <f>""</f>
        <v/>
      </c>
      <c r="C459" s="1" t="str">
        <f>"Tani Koi Judo Club"</f>
        <v>Tani Koi Judo Club</v>
      </c>
      <c r="D459" s="1" t="str">
        <f>"NB"</f>
        <v>NB</v>
      </c>
      <c r="E459" s="1" t="str">
        <f>"New Brunswick"</f>
        <v>New Brunswick</v>
      </c>
      <c r="F459" s="1" t="str">
        <f>"Egan"</f>
        <v>Egan</v>
      </c>
      <c r="G459" s="1" t="str">
        <f>"McLean"</f>
        <v>McLean</v>
      </c>
      <c r="H459" s="1" t="str">
        <f>"0193760"</f>
        <v>0193760</v>
      </c>
      <c r="I459" s="1" t="str">
        <f t="shared" si="58"/>
        <v>M</v>
      </c>
      <c r="J459" s="2">
        <v>2005</v>
      </c>
      <c r="K459" s="1" t="str">
        <f>"3k+"</f>
        <v>3k+</v>
      </c>
      <c r="L459" s="1" t="str">
        <f t="shared" si="57"/>
        <v>U16</v>
      </c>
      <c r="M459" s="1" t="str">
        <f t="shared" si="59"/>
        <v>-38</v>
      </c>
      <c r="N459" s="1" t="str">
        <f>""</f>
        <v/>
      </c>
      <c r="O459" s="1">
        <v>1</v>
      </c>
      <c r="P459" s="1"/>
      <c r="Q459" t="s">
        <v>269</v>
      </c>
    </row>
    <row r="460" spans="1:17" x14ac:dyDescent="0.25">
      <c r="A460" t="str">
        <f>"2018-10-20 09:48:48"</f>
        <v>2018-10-20 09:48:48</v>
      </c>
      <c r="B460" s="1" t="str">
        <f>""</f>
        <v/>
      </c>
      <c r="C460" s="1" t="str">
        <f>"Club de judo Ghishintaido Philippe Davidson"</f>
        <v>Club de judo Ghishintaido Philippe Davidson</v>
      </c>
      <c r="D460" s="1" t="str">
        <f>"QC"</f>
        <v>QC</v>
      </c>
      <c r="E460" s="1" t="str">
        <f>"Quebec"</f>
        <v>Quebec</v>
      </c>
      <c r="F460" s="1" t="str">
        <f>"Ryôsuke"</f>
        <v>Ryôsuke</v>
      </c>
      <c r="G460" s="1" t="str">
        <f>"Nagami-Davidson"</f>
        <v>Nagami-Davidson</v>
      </c>
      <c r="H460" s="1" t="str">
        <f>"0155893"</f>
        <v>0155893</v>
      </c>
      <c r="I460" s="1" t="str">
        <f t="shared" si="58"/>
        <v>M</v>
      </c>
      <c r="J460" s="2">
        <v>2005</v>
      </c>
      <c r="K460" s="1" t="str">
        <f>"2k"</f>
        <v>2k</v>
      </c>
      <c r="L460" s="1" t="str">
        <f t="shared" si="57"/>
        <v>U16</v>
      </c>
      <c r="M460" s="1" t="str">
        <f t="shared" si="59"/>
        <v>-38</v>
      </c>
      <c r="N460" s="1" t="str">
        <f>""</f>
        <v/>
      </c>
      <c r="O460" s="1">
        <v>1</v>
      </c>
      <c r="P460" s="1"/>
      <c r="Q460" t="s">
        <v>269</v>
      </c>
    </row>
    <row r="461" spans="1:17" x14ac:dyDescent="0.25">
      <c r="A461" t="str">
        <f>"2018-10-20 09:48:48"</f>
        <v>2018-10-20 09:48:48</v>
      </c>
      <c r="B461" s="1" t="str">
        <f>""</f>
        <v/>
      </c>
      <c r="C461" s="1" t="str">
        <f>"Club judokas Jonquière inc."</f>
        <v>Club judokas Jonquière inc.</v>
      </c>
      <c r="D461" s="1" t="str">
        <f>"QC"</f>
        <v>QC</v>
      </c>
      <c r="E461" s="1" t="str">
        <f>"Quebec"</f>
        <v>Quebec</v>
      </c>
      <c r="F461" s="1" t="str">
        <f>"Vincent"</f>
        <v>Vincent</v>
      </c>
      <c r="G461" s="1" t="str">
        <f>"Nepton"</f>
        <v>Nepton</v>
      </c>
      <c r="H461" s="1" t="str">
        <f>"0184297"</f>
        <v>0184297</v>
      </c>
      <c r="I461" s="1" t="str">
        <f t="shared" si="58"/>
        <v>M</v>
      </c>
      <c r="J461" s="2">
        <v>2006</v>
      </c>
      <c r="K461" s="1" t="str">
        <f>"2k"</f>
        <v>2k</v>
      </c>
      <c r="L461" s="1" t="s">
        <v>111</v>
      </c>
      <c r="M461" s="1" t="str">
        <f t="shared" si="59"/>
        <v>-38</v>
      </c>
      <c r="N461" s="1" t="str">
        <f>""</f>
        <v/>
      </c>
      <c r="O461" s="1">
        <v>2</v>
      </c>
      <c r="P461" s="1" t="s">
        <v>270</v>
      </c>
      <c r="Q461" t="s">
        <v>269</v>
      </c>
    </row>
    <row r="462" spans="1:17" x14ac:dyDescent="0.25">
      <c r="A462" t="str">
        <f>"2018-10-22 14:05:12"</f>
        <v>2018-10-22 14:05:12</v>
      </c>
      <c r="B462" s="1" t="str">
        <f>""</f>
        <v/>
      </c>
      <c r="C462" s="1" t="str">
        <f>"Club de judo Shidokan inc."</f>
        <v>Club de judo Shidokan inc.</v>
      </c>
      <c r="D462" s="1" t="str">
        <f>"QC"</f>
        <v>QC</v>
      </c>
      <c r="E462" s="1" t="str">
        <f>"Quebec"</f>
        <v>Quebec</v>
      </c>
      <c r="F462" s="1" t="str">
        <f>"William"</f>
        <v>William</v>
      </c>
      <c r="G462" s="1" t="str">
        <f>"Ouellet"</f>
        <v>Ouellet</v>
      </c>
      <c r="H462" s="1" t="str">
        <f>"0194835"</f>
        <v>0194835</v>
      </c>
      <c r="I462" s="1" t="str">
        <f t="shared" si="58"/>
        <v>M</v>
      </c>
      <c r="J462" s="2">
        <v>2004</v>
      </c>
      <c r="K462" s="1" t="str">
        <f>"3k+"</f>
        <v>3k+</v>
      </c>
      <c r="L462" s="1" t="str">
        <f>"U16"</f>
        <v>U16</v>
      </c>
      <c r="M462" s="1" t="str">
        <f t="shared" si="59"/>
        <v>-38</v>
      </c>
      <c r="N462" s="1" t="str">
        <f>""</f>
        <v/>
      </c>
      <c r="O462" s="1">
        <v>1</v>
      </c>
      <c r="P462" s="1"/>
      <c r="Q462" t="s">
        <v>269</v>
      </c>
    </row>
    <row r="463" spans="1:17" x14ac:dyDescent="0.25">
      <c r="A463" t="str">
        <f>"2018-10-20 09:48:48"</f>
        <v>2018-10-20 09:48:48</v>
      </c>
      <c r="B463" s="1" t="str">
        <f>""</f>
        <v/>
      </c>
      <c r="C463" s="1" t="str">
        <f>"Dojo Perrot Shima"</f>
        <v>Dojo Perrot Shima</v>
      </c>
      <c r="D463" s="1" t="str">
        <f>"QC"</f>
        <v>QC</v>
      </c>
      <c r="E463" s="1" t="str">
        <f>"Quebec"</f>
        <v>Quebec</v>
      </c>
      <c r="F463" s="1" t="str">
        <f>"Deven"</f>
        <v>Deven</v>
      </c>
      <c r="G463" s="1" t="str">
        <f>"Tetley"</f>
        <v>Tetley</v>
      </c>
      <c r="H463" s="1" t="str">
        <f>"0197142"</f>
        <v>0197142</v>
      </c>
      <c r="I463" s="1" t="str">
        <f t="shared" si="58"/>
        <v>M</v>
      </c>
      <c r="J463" s="2">
        <v>2005</v>
      </c>
      <c r="K463" s="1" t="str">
        <f>"2k+"</f>
        <v>2k+</v>
      </c>
      <c r="L463" s="1" t="str">
        <f>"U16"</f>
        <v>U16</v>
      </c>
      <c r="M463" s="1" t="str">
        <f t="shared" si="59"/>
        <v>-38</v>
      </c>
      <c r="N463" s="1" t="str">
        <f>""</f>
        <v/>
      </c>
      <c r="O463" s="1">
        <v>1</v>
      </c>
      <c r="P463" s="1"/>
      <c r="Q463" t="s">
        <v>269</v>
      </c>
    </row>
    <row r="464" spans="1:17" x14ac:dyDescent="0.25">
      <c r="A464" t="str">
        <f>"2018-10-19 19:11:46"</f>
        <v>2018-10-19 19:11:46</v>
      </c>
      <c r="B464" s="1" t="str">
        <f>""</f>
        <v/>
      </c>
      <c r="C464" s="1" t="str">
        <f>"St. Albert Tokai Judo Society"</f>
        <v>St. Albert Tokai Judo Society</v>
      </c>
      <c r="D464" s="1" t="str">
        <f>"AB"</f>
        <v>AB</v>
      </c>
      <c r="E464" s="1" t="str">
        <f>"Alberta"</f>
        <v>Alberta</v>
      </c>
      <c r="F464" s="1" t="str">
        <f>"Tayven"</f>
        <v>Tayven</v>
      </c>
      <c r="G464" s="1" t="str">
        <f>"Tremblay"</f>
        <v>Tremblay</v>
      </c>
      <c r="H464" s="1" t="str">
        <f>"0203391"</f>
        <v>0203391</v>
      </c>
      <c r="I464" s="1" t="str">
        <f t="shared" si="58"/>
        <v>M</v>
      </c>
      <c r="J464" s="2">
        <v>2005</v>
      </c>
      <c r="K464" s="1" t="str">
        <f>"2k"</f>
        <v>2k</v>
      </c>
      <c r="L464" s="1" t="str">
        <f>"U16"</f>
        <v>U16</v>
      </c>
      <c r="M464" s="1" t="str">
        <f t="shared" si="59"/>
        <v>-38</v>
      </c>
      <c r="N464" s="1" t="str">
        <f>""</f>
        <v/>
      </c>
      <c r="O464" s="1">
        <v>1</v>
      </c>
      <c r="P464" s="1"/>
      <c r="Q464" t="s">
        <v>269</v>
      </c>
    </row>
    <row r="465" spans="1:17" x14ac:dyDescent="0.25">
      <c r="B465" s="1" t="str">
        <f>""</f>
        <v/>
      </c>
      <c r="C465" s="1" t="str">
        <f>"Taifu Judo Club"</f>
        <v>Taifu Judo Club</v>
      </c>
      <c r="D465" s="1" t="str">
        <f>"ON"</f>
        <v>ON</v>
      </c>
      <c r="E465" s="1" t="str">
        <f>"Ontario"</f>
        <v>Ontario</v>
      </c>
      <c r="F465" s="1" t="str">
        <f>"Luka"</f>
        <v>Luka</v>
      </c>
      <c r="G465" s="1" t="str">
        <f>"Tsatsalashvili"</f>
        <v>Tsatsalashvili</v>
      </c>
      <c r="H465" s="1" t="str">
        <f>"0192350"</f>
        <v>0192350</v>
      </c>
      <c r="I465" s="1" t="str">
        <f t="shared" si="58"/>
        <v>M</v>
      </c>
      <c r="J465" s="2">
        <v>2006</v>
      </c>
      <c r="K465" s="1" t="str">
        <f>"3k"</f>
        <v>3k</v>
      </c>
      <c r="L465" s="1" t="s">
        <v>111</v>
      </c>
      <c r="M465" s="1">
        <v>-38</v>
      </c>
      <c r="N465" s="1" t="str">
        <f>""</f>
        <v/>
      </c>
      <c r="O465" s="10">
        <v>2</v>
      </c>
      <c r="P465" s="10" t="s">
        <v>271</v>
      </c>
      <c r="Q465" t="s">
        <v>269</v>
      </c>
    </row>
    <row r="466" spans="1:17" x14ac:dyDescent="0.25">
      <c r="B466" s="1" t="str">
        <f>""</f>
        <v/>
      </c>
      <c r="C466" s="1" t="str">
        <f>"Judo Univestri/donini"</f>
        <v>Judo Univestri/donini</v>
      </c>
      <c r="D466" s="1" t="str">
        <f>"QC"</f>
        <v>QC</v>
      </c>
      <c r="E466" s="1" t="str">
        <f>"Quebec"</f>
        <v>Quebec</v>
      </c>
      <c r="F466" s="1" t="str">
        <f>"Oceane"</f>
        <v>Oceane</v>
      </c>
      <c r="G466" s="1" t="str">
        <f>"Dube"</f>
        <v>Dube</v>
      </c>
      <c r="H466" s="1" t="str">
        <f>"0200520"</f>
        <v>0200520</v>
      </c>
      <c r="I466" s="1" t="str">
        <f>"F"</f>
        <v>F</v>
      </c>
      <c r="J466" s="1">
        <v>2005</v>
      </c>
      <c r="K466" s="1" t="s">
        <v>73</v>
      </c>
      <c r="L466" s="1" t="str">
        <f>"U16"</f>
        <v>U16</v>
      </c>
      <c r="M466" s="1" t="str">
        <f>"-40"</f>
        <v>-40</v>
      </c>
      <c r="N466" s="1" t="str">
        <f>""</f>
        <v/>
      </c>
      <c r="O466" s="1"/>
      <c r="P466" s="1"/>
      <c r="Q466" t="s">
        <v>272</v>
      </c>
    </row>
    <row r="467" spans="1:17" x14ac:dyDescent="0.25">
      <c r="A467" t="str">
        <f>"2018-10-21 00:10:23"</f>
        <v>2018-10-21 00:10:23</v>
      </c>
      <c r="B467" s="1" t="str">
        <f>""</f>
        <v/>
      </c>
      <c r="C467" s="1" t="str">
        <f>"Lethbridge Kyodokan Judo Club"</f>
        <v>Lethbridge Kyodokan Judo Club</v>
      </c>
      <c r="D467" s="1" t="str">
        <f>"AB"</f>
        <v>AB</v>
      </c>
      <c r="E467" s="1" t="str">
        <f>"Alberta"</f>
        <v>Alberta</v>
      </c>
      <c r="F467" s="1" t="str">
        <f>"Brynn"</f>
        <v>Brynn</v>
      </c>
      <c r="G467" s="1" t="str">
        <f>"Iwaasa"</f>
        <v>Iwaasa</v>
      </c>
      <c r="H467" s="1" t="str">
        <f>"0407178"</f>
        <v>0407178</v>
      </c>
      <c r="I467" s="1" t="str">
        <f>"F"</f>
        <v>F</v>
      </c>
      <c r="J467" s="2">
        <v>2004</v>
      </c>
      <c r="K467" s="1" t="str">
        <f>"3k"</f>
        <v>3k</v>
      </c>
      <c r="L467" s="1" t="s">
        <v>111</v>
      </c>
      <c r="M467" s="1" t="str">
        <f>"-40"</f>
        <v>-40</v>
      </c>
      <c r="N467" s="1" t="str">
        <f>"-40"</f>
        <v>-40</v>
      </c>
      <c r="O467" s="1">
        <v>2</v>
      </c>
      <c r="P467" s="1"/>
      <c r="Q467" t="s">
        <v>272</v>
      </c>
    </row>
    <row r="468" spans="1:17" x14ac:dyDescent="0.25">
      <c r="A468" t="str">
        <f>"2018-10-21 09:13:12"</f>
        <v>2018-10-21 09:13:12</v>
      </c>
      <c r="B468" s="1" t="str">
        <f>""</f>
        <v/>
      </c>
      <c r="C468" s="1" t="str">
        <f>"Steveston Judo Club"</f>
        <v>Steveston Judo Club</v>
      </c>
      <c r="D468" s="1" t="str">
        <f>"BC"</f>
        <v>BC</v>
      </c>
      <c r="E468" s="1" t="str">
        <f>"British Columbia"</f>
        <v>British Columbia</v>
      </c>
      <c r="F468" s="1" t="str">
        <f>"Lola"</f>
        <v>Lola</v>
      </c>
      <c r="G468" s="1" t="str">
        <f>"Shearer"</f>
        <v>Shearer</v>
      </c>
      <c r="H468" s="1" t="str">
        <f>"0198310"</f>
        <v>0198310</v>
      </c>
      <c r="I468" s="1" t="str">
        <f>"F"</f>
        <v>F</v>
      </c>
      <c r="J468" s="2">
        <v>2005</v>
      </c>
      <c r="K468" s="1" t="str">
        <f>"3k"</f>
        <v>3k</v>
      </c>
      <c r="L468" s="1" t="str">
        <f t="shared" ref="L468:L473" si="62">"U16"</f>
        <v>U16</v>
      </c>
      <c r="M468" s="1" t="str">
        <f>"-40"</f>
        <v>-40</v>
      </c>
      <c r="N468" s="1" t="str">
        <f>""</f>
        <v/>
      </c>
      <c r="O468" s="1">
        <v>1</v>
      </c>
      <c r="P468" s="1"/>
      <c r="Q468" t="s">
        <v>272</v>
      </c>
    </row>
    <row r="469" spans="1:17" x14ac:dyDescent="0.25">
      <c r="A469" t="str">
        <f>"2018-10-18 12:28:03"</f>
        <v>2018-10-18 12:28:03</v>
      </c>
      <c r="B469" s="1" t="str">
        <f>""</f>
        <v/>
      </c>
      <c r="C469" s="1" t="str">
        <f>"Club de judo St-Jean Bosco de Hull"</f>
        <v>Club de judo St-Jean Bosco de Hull</v>
      </c>
      <c r="D469" s="1" t="str">
        <f>"QC"</f>
        <v>QC</v>
      </c>
      <c r="E469" s="1" t="str">
        <f>"Quebec"</f>
        <v>Quebec</v>
      </c>
      <c r="F469" s="1" t="str">
        <f>"Mohammed Rayane"</f>
        <v>Mohammed Rayane</v>
      </c>
      <c r="G469" s="1" t="str">
        <f>"Amzil"</f>
        <v>Amzil</v>
      </c>
      <c r="H469" s="1" t="str">
        <f>"0207934"</f>
        <v>0207934</v>
      </c>
      <c r="I469" s="1" t="str">
        <f t="shared" ref="I469:I489" si="63">"M"</f>
        <v>M</v>
      </c>
      <c r="J469" s="2">
        <v>2005</v>
      </c>
      <c r="K469" s="1" t="str">
        <f>"3k"</f>
        <v>3k</v>
      </c>
      <c r="L469" s="1" t="str">
        <f t="shared" si="62"/>
        <v>U16</v>
      </c>
      <c r="M469" s="1" t="str">
        <f t="shared" ref="M469:M489" si="64">"-42"</f>
        <v>-42</v>
      </c>
      <c r="N469" s="1" t="str">
        <f>""</f>
        <v/>
      </c>
      <c r="O469" s="1">
        <v>1</v>
      </c>
      <c r="P469" s="1"/>
      <c r="Q469" t="s">
        <v>273</v>
      </c>
    </row>
    <row r="470" spans="1:17" x14ac:dyDescent="0.25">
      <c r="A470" t="str">
        <f>"2018-10-21 20:04:57"</f>
        <v>2018-10-21 20:04:57</v>
      </c>
      <c r="B470" s="1" t="str">
        <f>""</f>
        <v/>
      </c>
      <c r="C470" s="1" t="str">
        <f>"Académie de Judo de Sept-Iles Inc."</f>
        <v>Académie de Judo de Sept-Iles Inc.</v>
      </c>
      <c r="D470" s="1" t="str">
        <f>"QC"</f>
        <v>QC</v>
      </c>
      <c r="E470" s="1" t="str">
        <f>"Quebec"</f>
        <v>Quebec</v>
      </c>
      <c r="F470" s="1" t="str">
        <f>"Mathieu"</f>
        <v>Mathieu</v>
      </c>
      <c r="G470" s="1" t="str">
        <f>"Bisson"</f>
        <v>Bisson</v>
      </c>
      <c r="H470" s="1" t="str">
        <f>"0198167"</f>
        <v>0198167</v>
      </c>
      <c r="I470" s="1" t="str">
        <f t="shared" si="63"/>
        <v>M</v>
      </c>
      <c r="J470" s="2">
        <v>2004</v>
      </c>
      <c r="K470" s="1" t="str">
        <f>"2k"</f>
        <v>2k</v>
      </c>
      <c r="L470" s="1" t="str">
        <f t="shared" si="62"/>
        <v>U16</v>
      </c>
      <c r="M470" s="1" t="str">
        <f t="shared" si="64"/>
        <v>-42</v>
      </c>
      <c r="N470" s="1" t="str">
        <f>""</f>
        <v/>
      </c>
      <c r="O470" s="1">
        <v>1</v>
      </c>
      <c r="P470" s="1"/>
      <c r="Q470" t="s">
        <v>273</v>
      </c>
    </row>
    <row r="471" spans="1:17" x14ac:dyDescent="0.25">
      <c r="A471" t="str">
        <f>"2018-09-29 09:46:19"</f>
        <v>2018-09-29 09:46:19</v>
      </c>
      <c r="B471" s="1" t="str">
        <f>""</f>
        <v/>
      </c>
      <c r="C471" s="1" t="str">
        <f>"Pedro's Judo National Team Force"</f>
        <v>Pedro's Judo National Team Force</v>
      </c>
      <c r="D471" s="1" t="s">
        <v>106</v>
      </c>
      <c r="E471" s="1" t="str">
        <f>"US"</f>
        <v>US</v>
      </c>
      <c r="F471" s="1" t="str">
        <f>"Nate"</f>
        <v>Nate</v>
      </c>
      <c r="G471" s="1" t="str">
        <f>"Blanchette"</f>
        <v>Blanchette</v>
      </c>
      <c r="H471" s="1" t="str">
        <f>"AutreFederation"</f>
        <v>AutreFederation</v>
      </c>
      <c r="I471" s="1" t="str">
        <f t="shared" si="63"/>
        <v>M</v>
      </c>
      <c r="J471" s="2">
        <v>2005</v>
      </c>
      <c r="K471" s="1" t="str">
        <f>"3k+"</f>
        <v>3k+</v>
      </c>
      <c r="L471" s="1" t="str">
        <f t="shared" si="62"/>
        <v>U16</v>
      </c>
      <c r="M471" s="1" t="str">
        <f t="shared" si="64"/>
        <v>-42</v>
      </c>
      <c r="N471" s="1" t="str">
        <f>""</f>
        <v/>
      </c>
      <c r="O471" s="1">
        <v>1</v>
      </c>
      <c r="P471" s="1"/>
      <c r="Q471" t="s">
        <v>273</v>
      </c>
    </row>
    <row r="472" spans="1:17" x14ac:dyDescent="0.25">
      <c r="A472" t="str">
        <f>"2018-10-20 13:19:21"</f>
        <v>2018-10-20 13:19:21</v>
      </c>
      <c r="B472" s="1" t="str">
        <f>""</f>
        <v/>
      </c>
      <c r="C472" s="1" t="str">
        <f>"Club de judo Ghishintaido Philippe Davidson"</f>
        <v>Club de judo Ghishintaido Philippe Davidson</v>
      </c>
      <c r="D472" s="1" t="str">
        <f>"QC"</f>
        <v>QC</v>
      </c>
      <c r="E472" s="1" t="str">
        <f>"Quebec"</f>
        <v>Quebec</v>
      </c>
      <c r="F472" s="1" t="str">
        <f>"Raphaël"</f>
        <v>Raphaël</v>
      </c>
      <c r="G472" s="1" t="str">
        <f>"Brûlé"</f>
        <v>Brûlé</v>
      </c>
      <c r="H472" s="1" t="str">
        <f>"0153307"</f>
        <v>0153307</v>
      </c>
      <c r="I472" s="1" t="str">
        <f t="shared" si="63"/>
        <v>M</v>
      </c>
      <c r="J472" s="2">
        <v>2004</v>
      </c>
      <c r="K472" s="1" t="str">
        <f>"2k+"</f>
        <v>2k+</v>
      </c>
      <c r="L472" s="1" t="str">
        <f t="shared" si="62"/>
        <v>U16</v>
      </c>
      <c r="M472" s="1" t="str">
        <f t="shared" si="64"/>
        <v>-42</v>
      </c>
      <c r="N472" s="1" t="str">
        <f>""</f>
        <v/>
      </c>
      <c r="O472" s="1">
        <v>1</v>
      </c>
      <c r="P472" s="1"/>
      <c r="Q472" t="s">
        <v>273</v>
      </c>
    </row>
    <row r="473" spans="1:17" x14ac:dyDescent="0.25">
      <c r="A473" t="str">
        <f>"2018-10-21 16:33:25"</f>
        <v>2018-10-21 16:33:25</v>
      </c>
      <c r="B473" s="1" t="str">
        <f>""</f>
        <v/>
      </c>
      <c r="C473" s="1" t="str">
        <f>"Club de judo Vallée du Richelieu"</f>
        <v>Club de judo Vallée du Richelieu</v>
      </c>
      <c r="D473" s="1" t="str">
        <f>"QC"</f>
        <v>QC</v>
      </c>
      <c r="E473" s="1" t="str">
        <f>"Quebec"</f>
        <v>Quebec</v>
      </c>
      <c r="F473" s="1" t="str">
        <f>"Nicolas"</f>
        <v>Nicolas</v>
      </c>
      <c r="G473" s="1" t="str">
        <f>"Bussieres"</f>
        <v>Bussieres</v>
      </c>
      <c r="H473" s="1" t="str">
        <f>"0205591"</f>
        <v>0205591</v>
      </c>
      <c r="I473" s="1" t="str">
        <f t="shared" si="63"/>
        <v>M</v>
      </c>
      <c r="J473" s="2">
        <v>2005</v>
      </c>
      <c r="K473" s="1" t="str">
        <f>"3k+"</f>
        <v>3k+</v>
      </c>
      <c r="L473" s="1" t="str">
        <f t="shared" si="62"/>
        <v>U16</v>
      </c>
      <c r="M473" s="1" t="str">
        <f t="shared" si="64"/>
        <v>-42</v>
      </c>
      <c r="N473" s="1" t="str">
        <f>""</f>
        <v/>
      </c>
      <c r="O473" s="1">
        <v>1</v>
      </c>
      <c r="P473" s="1"/>
      <c r="Q473" t="s">
        <v>273</v>
      </c>
    </row>
    <row r="474" spans="1:17" x14ac:dyDescent="0.25">
      <c r="A474" t="str">
        <f>"2018-10-24 22:05:22"</f>
        <v>2018-10-24 22:05:22</v>
      </c>
      <c r="B474" s="1" t="str">
        <f>""</f>
        <v/>
      </c>
      <c r="C474" s="1" t="str">
        <f>"Lethbridge Kyodokan Judo Club"</f>
        <v>Lethbridge Kyodokan Judo Club</v>
      </c>
      <c r="D474" s="1" t="str">
        <f>"AB"</f>
        <v>AB</v>
      </c>
      <c r="E474" s="1" t="str">
        <f>"Alberta"</f>
        <v>Alberta</v>
      </c>
      <c r="F474" s="1" t="str">
        <f>"Caleb"</f>
        <v>Caleb</v>
      </c>
      <c r="G474" s="1" t="str">
        <f>"Demaere"</f>
        <v>Demaere</v>
      </c>
      <c r="H474" s="1" t="str">
        <f>"0172773"</f>
        <v>0172773</v>
      </c>
      <c r="I474" s="1" t="str">
        <f t="shared" si="63"/>
        <v>M</v>
      </c>
      <c r="J474" s="2">
        <v>2004</v>
      </c>
      <c r="K474" s="1" t="str">
        <f>"2k"</f>
        <v>2k</v>
      </c>
      <c r="L474" s="1" t="s">
        <v>111</v>
      </c>
      <c r="M474" s="1" t="str">
        <f t="shared" si="64"/>
        <v>-42</v>
      </c>
      <c r="N474" s="1" t="str">
        <f>"u46"</f>
        <v>u46</v>
      </c>
      <c r="O474" s="1">
        <v>2</v>
      </c>
      <c r="P474" s="1"/>
      <c r="Q474" t="s">
        <v>273</v>
      </c>
    </row>
    <row r="475" spans="1:17" x14ac:dyDescent="0.25">
      <c r="A475" t="str">
        <f>"2018-10-20 21:56:07"</f>
        <v>2018-10-20 21:56:07</v>
      </c>
      <c r="B475" s="1" t="str">
        <f>""</f>
        <v/>
      </c>
      <c r="C475" s="1" t="str">
        <f>"Club de judo Albatros Inc."</f>
        <v>Club de judo Albatros Inc.</v>
      </c>
      <c r="D475" s="1" t="str">
        <f>"QC"</f>
        <v>QC</v>
      </c>
      <c r="E475" s="1" t="str">
        <f>"Quebec"</f>
        <v>Quebec</v>
      </c>
      <c r="F475" s="1" t="str">
        <f>"Antoine"</f>
        <v>Antoine</v>
      </c>
      <c r="G475" s="1" t="str">
        <f>"Fortin"</f>
        <v>Fortin</v>
      </c>
      <c r="H475" s="1" t="str">
        <f>"0196149"</f>
        <v>0196149</v>
      </c>
      <c r="I475" s="1" t="str">
        <f t="shared" si="63"/>
        <v>M</v>
      </c>
      <c r="J475" s="2">
        <v>2004</v>
      </c>
      <c r="K475" s="1" t="str">
        <f>"3k"</f>
        <v>3k</v>
      </c>
      <c r="L475" s="1" t="str">
        <f>"U16"</f>
        <v>U16</v>
      </c>
      <c r="M475" s="1" t="str">
        <f t="shared" si="64"/>
        <v>-42</v>
      </c>
      <c r="N475" s="1" t="str">
        <f>""</f>
        <v/>
      </c>
      <c r="O475" s="1">
        <v>1</v>
      </c>
      <c r="P475" s="1"/>
      <c r="Q475" t="s">
        <v>273</v>
      </c>
    </row>
    <row r="476" spans="1:17" x14ac:dyDescent="0.25">
      <c r="A476" t="str">
        <f>"2018-10-23 07:53:19"</f>
        <v>2018-10-23 07:53:19</v>
      </c>
      <c r="B476" s="1" t="str">
        <f>""</f>
        <v/>
      </c>
      <c r="C476" s="1" t="str">
        <f>"Dojo Zenshin"</f>
        <v>Dojo Zenshin</v>
      </c>
      <c r="D476" s="1" t="str">
        <f>"QC"</f>
        <v>QC</v>
      </c>
      <c r="E476" s="1" t="str">
        <f>"Quebec"</f>
        <v>Quebec</v>
      </c>
      <c r="F476" s="1" t="str">
        <f>"Matis"</f>
        <v>Matis</v>
      </c>
      <c r="G476" s="1" t="str">
        <f>"Ganet"</f>
        <v>Ganet</v>
      </c>
      <c r="H476" s="1" t="str">
        <f>"0229648"</f>
        <v>0229648</v>
      </c>
      <c r="I476" s="1" t="str">
        <f t="shared" si="63"/>
        <v>M</v>
      </c>
      <c r="J476" s="2">
        <v>2005</v>
      </c>
      <c r="K476" s="1" t="str">
        <f>"1k"</f>
        <v>1k</v>
      </c>
      <c r="L476" s="1" t="str">
        <f>"U16"</f>
        <v>U16</v>
      </c>
      <c r="M476" s="1" t="str">
        <f t="shared" si="64"/>
        <v>-42</v>
      </c>
      <c r="N476" s="1" t="str">
        <f>""</f>
        <v/>
      </c>
      <c r="O476" s="1">
        <v>1</v>
      </c>
      <c r="P476" s="1"/>
      <c r="Q476" t="s">
        <v>273</v>
      </c>
    </row>
    <row r="477" spans="1:17" x14ac:dyDescent="0.25">
      <c r="A477" t="str">
        <f>"2018-10-25 17:41:07"</f>
        <v>2018-10-25 17:41:07</v>
      </c>
      <c r="B477" s="1" t="str">
        <f>""</f>
        <v/>
      </c>
      <c r="C477" s="1" t="str">
        <f>"Lethbridge Kyodokan Judo Club"</f>
        <v>Lethbridge Kyodokan Judo Club</v>
      </c>
      <c r="D477" s="1" t="str">
        <f>"AB"</f>
        <v>AB</v>
      </c>
      <c r="E477" s="1" t="str">
        <f>"Alberta"</f>
        <v>Alberta</v>
      </c>
      <c r="F477" s="1" t="str">
        <f>"Elijah"</f>
        <v>Elijah</v>
      </c>
      <c r="G477" s="1" t="str">
        <f>"Hill"</f>
        <v>Hill</v>
      </c>
      <c r="H477" s="1" t="str">
        <f>"0195174"</f>
        <v>0195174</v>
      </c>
      <c r="I477" s="1" t="str">
        <f t="shared" si="63"/>
        <v>M</v>
      </c>
      <c r="J477" s="2">
        <v>2004</v>
      </c>
      <c r="K477" s="1" t="str">
        <f>"2k"</f>
        <v>2k</v>
      </c>
      <c r="L477" s="1" t="s">
        <v>111</v>
      </c>
      <c r="M477" s="1" t="str">
        <f t="shared" si="64"/>
        <v>-42</v>
      </c>
      <c r="N477" s="1" t="str">
        <f>""</f>
        <v/>
      </c>
      <c r="O477" s="1">
        <v>2</v>
      </c>
      <c r="P477" s="1"/>
      <c r="Q477" t="s">
        <v>273</v>
      </c>
    </row>
    <row r="478" spans="1:17" x14ac:dyDescent="0.25">
      <c r="A478" t="str">
        <f>"2018-10-11 12:26:19"</f>
        <v>2018-10-11 12:26:19</v>
      </c>
      <c r="B478" s="1" t="str">
        <f>""</f>
        <v/>
      </c>
      <c r="C478" s="1" t="str">
        <f>"Club de judo St-Jean Bosco de Hull"</f>
        <v>Club de judo St-Jean Bosco de Hull</v>
      </c>
      <c r="D478" s="1" t="str">
        <f>"QC"</f>
        <v>QC</v>
      </c>
      <c r="E478" s="1" t="str">
        <f>"Quebec"</f>
        <v>Quebec</v>
      </c>
      <c r="F478" s="1" t="str">
        <f>"Olivier"</f>
        <v>Olivier</v>
      </c>
      <c r="G478" s="1" t="str">
        <f>"Hotte"</f>
        <v>Hotte</v>
      </c>
      <c r="H478" s="1" t="str">
        <f>"0180013"</f>
        <v>0180013</v>
      </c>
      <c r="I478" s="1" t="str">
        <f t="shared" si="63"/>
        <v>M</v>
      </c>
      <c r="J478" s="2">
        <v>2005</v>
      </c>
      <c r="K478" s="1" t="str">
        <f>"3k"</f>
        <v>3k</v>
      </c>
      <c r="L478" s="1" t="str">
        <f>"U16"</f>
        <v>U16</v>
      </c>
      <c r="M478" s="1" t="str">
        <f t="shared" si="64"/>
        <v>-42</v>
      </c>
      <c r="N478" s="1" t="str">
        <f>""</f>
        <v/>
      </c>
      <c r="O478" s="1">
        <v>1</v>
      </c>
      <c r="P478" s="1"/>
      <c r="Q478" t="s">
        <v>273</v>
      </c>
    </row>
    <row r="479" spans="1:17" x14ac:dyDescent="0.25">
      <c r="A479" t="str">
        <f>"2018-10-20 20:39:45"</f>
        <v>2018-10-20 20:39:45</v>
      </c>
      <c r="B479" s="1" t="str">
        <f>""</f>
        <v/>
      </c>
      <c r="C479" s="1" t="str">
        <f>"Tani Koi Judo Club"</f>
        <v>Tani Koi Judo Club</v>
      </c>
      <c r="D479" s="1" t="str">
        <f>"NB"</f>
        <v>NB</v>
      </c>
      <c r="E479" s="1" t="str">
        <f>"New Brunswick"</f>
        <v>New Brunswick</v>
      </c>
      <c r="F479" s="1" t="str">
        <f>"Jake"</f>
        <v>Jake</v>
      </c>
      <c r="G479" s="1" t="str">
        <f>"Hutchison"</f>
        <v>Hutchison</v>
      </c>
      <c r="H479" s="1" t="str">
        <f>"0197798"</f>
        <v>0197798</v>
      </c>
      <c r="I479" s="1" t="str">
        <f t="shared" si="63"/>
        <v>M</v>
      </c>
      <c r="J479" s="2">
        <v>2005</v>
      </c>
      <c r="K479" s="1" t="str">
        <f>"3k+"</f>
        <v>3k+</v>
      </c>
      <c r="L479" s="1" t="str">
        <f>"U16"</f>
        <v>U16</v>
      </c>
      <c r="M479" s="1" t="str">
        <f t="shared" si="64"/>
        <v>-42</v>
      </c>
      <c r="N479" s="1" t="str">
        <f>""</f>
        <v/>
      </c>
      <c r="O479" s="1">
        <v>1</v>
      </c>
      <c r="P479" s="1"/>
      <c r="Q479" t="s">
        <v>273</v>
      </c>
    </row>
    <row r="480" spans="1:17" x14ac:dyDescent="0.25">
      <c r="A480" t="str">
        <f>"2018-10-21 20:31:05"</f>
        <v>2018-10-21 20:31:05</v>
      </c>
      <c r="B480" s="1" t="str">
        <f>""</f>
        <v/>
      </c>
      <c r="C480" s="1" t="str">
        <f>"AJAX Budokan"</f>
        <v>AJAX Budokan</v>
      </c>
      <c r="D480" s="1" t="str">
        <f>"ON"</f>
        <v>ON</v>
      </c>
      <c r="E480" s="1" t="str">
        <f>"Ontario"</f>
        <v>Ontario</v>
      </c>
      <c r="F480" s="1" t="str">
        <f>"Timothy"</f>
        <v>Timothy</v>
      </c>
      <c r="G480" s="1" t="str">
        <f>"Kowalski"</f>
        <v>Kowalski</v>
      </c>
      <c r="H480" s="1" t="str">
        <f>"0172974"</f>
        <v>0172974</v>
      </c>
      <c r="I480" s="1" t="str">
        <f t="shared" si="63"/>
        <v>M</v>
      </c>
      <c r="J480" s="2">
        <v>2005</v>
      </c>
      <c r="K480" s="1" t="str">
        <f>"1k"</f>
        <v>1k</v>
      </c>
      <c r="L480" s="1" t="str">
        <f>"U16"</f>
        <v>U16</v>
      </c>
      <c r="M480" s="1" t="str">
        <f t="shared" si="64"/>
        <v>-42</v>
      </c>
      <c r="N480" s="1" t="str">
        <f>""</f>
        <v/>
      </c>
      <c r="O480" s="1">
        <v>1</v>
      </c>
      <c r="P480" s="1"/>
      <c r="Q480" t="s">
        <v>273</v>
      </c>
    </row>
    <row r="481" spans="1:17" x14ac:dyDescent="0.25">
      <c r="B481" s="1" t="str">
        <f>""</f>
        <v/>
      </c>
      <c r="C481" s="1" t="str">
        <f>"Sport Centre Ippon"</f>
        <v>Sport Centre Ippon</v>
      </c>
      <c r="D481" s="1" t="str">
        <f>"QC"</f>
        <v>QC</v>
      </c>
      <c r="E481" s="1" t="str">
        <f>"Quebec"</f>
        <v>Quebec</v>
      </c>
      <c r="F481" s="1" t="str">
        <f>"Danill"</f>
        <v>Danill</v>
      </c>
      <c r="G481" s="1" t="str">
        <f>"Kremerman"</f>
        <v>Kremerman</v>
      </c>
      <c r="H481" s="1" t="str">
        <f>"0168611"</f>
        <v>0168611</v>
      </c>
      <c r="I481" s="1" t="str">
        <f t="shared" si="63"/>
        <v>M</v>
      </c>
      <c r="J481" s="1">
        <v>2005</v>
      </c>
      <c r="K481" s="1" t="s">
        <v>80</v>
      </c>
      <c r="L481" s="1" t="str">
        <f>"U16"</f>
        <v>U16</v>
      </c>
      <c r="M481" s="1" t="str">
        <f t="shared" si="64"/>
        <v>-42</v>
      </c>
      <c r="N481" s="1" t="str">
        <f>""</f>
        <v/>
      </c>
      <c r="O481" s="1"/>
      <c r="P481" s="1"/>
      <c r="Q481" t="s">
        <v>273</v>
      </c>
    </row>
    <row r="482" spans="1:17" x14ac:dyDescent="0.25">
      <c r="A482" t="str">
        <f>"2018-10-21 21:45:06"</f>
        <v>2018-10-21 21:45:06</v>
      </c>
      <c r="B482" s="1" t="str">
        <f>""</f>
        <v/>
      </c>
      <c r="C482" s="1" t="str">
        <f>"Challenge Sports Club"</f>
        <v>Challenge Sports Club</v>
      </c>
      <c r="D482" s="1" t="str">
        <f>"ON"</f>
        <v>ON</v>
      </c>
      <c r="E482" s="1" t="str">
        <f>"Ontario"</f>
        <v>Ontario</v>
      </c>
      <c r="F482" s="1" t="str">
        <f>"Philipp"</f>
        <v>Philipp</v>
      </c>
      <c r="G482" s="1" t="str">
        <f>"Mayorov"</f>
        <v>Mayorov</v>
      </c>
      <c r="H482" s="1" t="str">
        <f>"0195476"</f>
        <v>0195476</v>
      </c>
      <c r="I482" s="1" t="str">
        <f t="shared" si="63"/>
        <v>M</v>
      </c>
      <c r="J482" s="2">
        <v>2004</v>
      </c>
      <c r="K482" s="1" t="str">
        <f>"2k"</f>
        <v>2k</v>
      </c>
      <c r="L482" s="1" t="str">
        <f>"U16"</f>
        <v>U16</v>
      </c>
      <c r="M482" s="1" t="str">
        <f t="shared" si="64"/>
        <v>-42</v>
      </c>
      <c r="N482" s="1" t="str">
        <f>""</f>
        <v/>
      </c>
      <c r="O482" s="1">
        <v>1</v>
      </c>
      <c r="P482" s="1"/>
      <c r="Q482" t="s">
        <v>273</v>
      </c>
    </row>
    <row r="483" spans="1:17" x14ac:dyDescent="0.25">
      <c r="B483" s="1" t="str">
        <f>""</f>
        <v/>
      </c>
      <c r="C483" s="1" t="str">
        <f>"Taifu Judo Club"</f>
        <v>Taifu Judo Club</v>
      </c>
      <c r="D483" s="1" t="str">
        <f>"ON"</f>
        <v>ON</v>
      </c>
      <c r="E483" s="1" t="str">
        <f>"Ontario"</f>
        <v>Ontario</v>
      </c>
      <c r="F483" s="1" t="str">
        <f>"Artem"</f>
        <v>Artem</v>
      </c>
      <c r="G483" s="1" t="str">
        <f>"Neyolov"</f>
        <v>Neyolov</v>
      </c>
      <c r="H483" s="1" t="str">
        <f>"0193583"</f>
        <v>0193583</v>
      </c>
      <c r="I483" s="1" t="str">
        <f t="shared" si="63"/>
        <v>M</v>
      </c>
      <c r="J483" s="2">
        <v>2006</v>
      </c>
      <c r="K483" s="1" t="str">
        <f>"3k"</f>
        <v>3k</v>
      </c>
      <c r="L483" s="1" t="s">
        <v>111</v>
      </c>
      <c r="M483" s="1" t="str">
        <f t="shared" si="64"/>
        <v>-42</v>
      </c>
      <c r="N483" s="1" t="str">
        <f>""</f>
        <v/>
      </c>
      <c r="O483" s="10">
        <v>2</v>
      </c>
      <c r="P483" s="1" t="s">
        <v>271</v>
      </c>
      <c r="Q483" t="s">
        <v>273</v>
      </c>
    </row>
    <row r="484" spans="1:17" x14ac:dyDescent="0.25">
      <c r="B484" s="1" t="str">
        <f>""</f>
        <v/>
      </c>
      <c r="C484" s="1" t="str">
        <f>"Taifu Judo Club"</f>
        <v>Taifu Judo Club</v>
      </c>
      <c r="D484" s="1" t="str">
        <f>"ON"</f>
        <v>ON</v>
      </c>
      <c r="E484" s="1" t="str">
        <f>"Ontario"</f>
        <v>Ontario</v>
      </c>
      <c r="F484" s="1" t="str">
        <f>"Denis"</f>
        <v>Denis</v>
      </c>
      <c r="G484" s="1" t="str">
        <f>"Neyolov"</f>
        <v>Neyolov</v>
      </c>
      <c r="H484" s="1" t="str">
        <f>"0192343"</f>
        <v>0192343</v>
      </c>
      <c r="I484" s="1" t="str">
        <f t="shared" si="63"/>
        <v>M</v>
      </c>
      <c r="J484" s="2">
        <v>2006</v>
      </c>
      <c r="K484" s="1" t="str">
        <f>"3k"</f>
        <v>3k</v>
      </c>
      <c r="L484" s="1" t="s">
        <v>111</v>
      </c>
      <c r="M484" s="1" t="str">
        <f t="shared" si="64"/>
        <v>-42</v>
      </c>
      <c r="N484" s="1" t="str">
        <f>""</f>
        <v/>
      </c>
      <c r="O484" s="10">
        <v>2</v>
      </c>
      <c r="P484" s="1" t="s">
        <v>271</v>
      </c>
      <c r="Q484" t="s">
        <v>273</v>
      </c>
    </row>
    <row r="485" spans="1:17" x14ac:dyDescent="0.25">
      <c r="A485" t="str">
        <f>"2018-10-19 10:09:37"</f>
        <v>2018-10-19 10:09:37</v>
      </c>
      <c r="B485" s="1" t="str">
        <f>""</f>
        <v/>
      </c>
      <c r="C485" s="1" t="str">
        <f>"Club judo St-Leonard"</f>
        <v>Club judo St-Leonard</v>
      </c>
      <c r="D485" s="1" t="str">
        <f>"QC"</f>
        <v>QC</v>
      </c>
      <c r="E485" s="1" t="str">
        <f>"Quebec"</f>
        <v>Quebec</v>
      </c>
      <c r="F485" s="1" t="str">
        <f>"Kamil Mohamed"</f>
        <v>Kamil Mohamed</v>
      </c>
      <c r="G485" s="1" t="str">
        <f>"Ouali"</f>
        <v>Ouali</v>
      </c>
      <c r="H485" s="1" t="str">
        <f>"0407151"</f>
        <v>0407151</v>
      </c>
      <c r="I485" s="1" t="str">
        <f t="shared" si="63"/>
        <v>M</v>
      </c>
      <c r="J485" s="2">
        <v>2005</v>
      </c>
      <c r="K485" s="1" t="str">
        <f>"3k"</f>
        <v>3k</v>
      </c>
      <c r="L485" s="1" t="str">
        <f>"U16"</f>
        <v>U16</v>
      </c>
      <c r="M485" s="1" t="str">
        <f t="shared" si="64"/>
        <v>-42</v>
      </c>
      <c r="N485" s="1" t="str">
        <f>""</f>
        <v/>
      </c>
      <c r="O485" s="1">
        <v>1</v>
      </c>
      <c r="P485" s="1"/>
      <c r="Q485" t="s">
        <v>273</v>
      </c>
    </row>
    <row r="486" spans="1:17" x14ac:dyDescent="0.25">
      <c r="A486" t="str">
        <f>"2018-10-18 21:17:02"</f>
        <v>2018-10-18 21:17:02</v>
      </c>
      <c r="B486" s="1" t="str">
        <f>""</f>
        <v/>
      </c>
      <c r="C486" s="1" t="str">
        <f>"Club de judo Shidokan inc."</f>
        <v>Club de judo Shidokan inc.</v>
      </c>
      <c r="D486" s="1" t="str">
        <f>"QC"</f>
        <v>QC</v>
      </c>
      <c r="E486" s="1" t="str">
        <f>"Quebec"</f>
        <v>Quebec</v>
      </c>
      <c r="F486" s="1" t="str">
        <f>"Charles"</f>
        <v>Charles</v>
      </c>
      <c r="G486" s="1" t="str">
        <f>"Ouellet"</f>
        <v>Ouellet</v>
      </c>
      <c r="H486" s="1" t="str">
        <f>"0194837"</f>
        <v>0194837</v>
      </c>
      <c r="I486" s="1" t="str">
        <f t="shared" si="63"/>
        <v>M</v>
      </c>
      <c r="J486" s="2">
        <v>2004</v>
      </c>
      <c r="K486" s="1" t="str">
        <f>"3k+"</f>
        <v>3k+</v>
      </c>
      <c r="L486" s="1" t="str">
        <f>"U16"</f>
        <v>U16</v>
      </c>
      <c r="M486" s="1" t="str">
        <f t="shared" si="64"/>
        <v>-42</v>
      </c>
      <c r="N486" s="1" t="str">
        <f>""</f>
        <v/>
      </c>
      <c r="O486" s="1">
        <v>1</v>
      </c>
      <c r="P486" s="1"/>
      <c r="Q486" t="s">
        <v>273</v>
      </c>
    </row>
    <row r="487" spans="1:17" x14ac:dyDescent="0.25">
      <c r="B487" s="1" t="str">
        <f>""</f>
        <v/>
      </c>
      <c r="C487" s="1" t="str">
        <f>"Olympic Judo Centre"</f>
        <v>Olympic Judo Centre</v>
      </c>
      <c r="D487" s="1" t="str">
        <f>"ON"</f>
        <v>ON</v>
      </c>
      <c r="E487" s="1" t="str">
        <f>"Georgia"</f>
        <v>Georgia</v>
      </c>
      <c r="F487" s="1" t="str">
        <f>"Ukhurgunashvili"</f>
        <v>Ukhurgunashvili</v>
      </c>
      <c r="G487" s="1" t="str">
        <f>"Shalva"</f>
        <v>Shalva</v>
      </c>
      <c r="H487" s="1" t="str">
        <f>"Olympicjudocentre"</f>
        <v>Olympicjudocentre</v>
      </c>
      <c r="I487" s="1" t="str">
        <f t="shared" si="63"/>
        <v>M</v>
      </c>
      <c r="J487" s="1">
        <v>2005</v>
      </c>
      <c r="K487" s="1" t="s">
        <v>73</v>
      </c>
      <c r="L487" s="1" t="str">
        <f>"U16"</f>
        <v>U16</v>
      </c>
      <c r="M487" s="1" t="str">
        <f t="shared" si="64"/>
        <v>-42</v>
      </c>
      <c r="N487" s="1" t="str">
        <f>""</f>
        <v/>
      </c>
      <c r="O487" s="1"/>
      <c r="P487" s="1"/>
      <c r="Q487" t="s">
        <v>273</v>
      </c>
    </row>
    <row r="488" spans="1:17" x14ac:dyDescent="0.25">
      <c r="A488" t="str">
        <f>"2018-10-24 15:02:24"</f>
        <v>2018-10-24 15:02:24</v>
      </c>
      <c r="B488" s="1" t="str">
        <f>""</f>
        <v/>
      </c>
      <c r="C488" s="1" t="str">
        <f>"Judo Sambo Center"</f>
        <v>Judo Sambo Center</v>
      </c>
      <c r="D488" s="1" t="s">
        <v>106</v>
      </c>
      <c r="E488" s="1" t="str">
        <f>"New York"</f>
        <v>New York</v>
      </c>
      <c r="F488" s="1" t="str">
        <f>"Lenny"</f>
        <v>Lenny</v>
      </c>
      <c r="G488" s="1" t="str">
        <f>"Sheynfeld"</f>
        <v>Sheynfeld</v>
      </c>
      <c r="H488" s="1" t="str">
        <f>"AutreFederation"</f>
        <v>AutreFederation</v>
      </c>
      <c r="I488" s="1" t="str">
        <f t="shared" si="63"/>
        <v>M</v>
      </c>
      <c r="J488" s="2">
        <v>2005</v>
      </c>
      <c r="K488" s="1" t="str">
        <f>"2k+"</f>
        <v>2k+</v>
      </c>
      <c r="L488" s="1" t="str">
        <f>"U16"</f>
        <v>U16</v>
      </c>
      <c r="M488" s="1" t="str">
        <f t="shared" si="64"/>
        <v>-42</v>
      </c>
      <c r="N488" s="1" t="str">
        <f>""</f>
        <v/>
      </c>
      <c r="O488" s="1">
        <v>1</v>
      </c>
      <c r="P488" s="1"/>
      <c r="Q488" t="s">
        <v>273</v>
      </c>
    </row>
    <row r="489" spans="1:17" x14ac:dyDescent="0.25">
      <c r="A489" t="str">
        <f>"2018-10-14 10:52:45"</f>
        <v>2018-10-14 10:52:45</v>
      </c>
      <c r="B489" s="1" t="str">
        <f>""</f>
        <v/>
      </c>
      <c r="C489" s="1" t="str">
        <f>"Ki-itsu-sai National Training Center"</f>
        <v>Ki-itsu-sai National Training Center</v>
      </c>
      <c r="D489" s="1" t="s">
        <v>106</v>
      </c>
      <c r="E489" s="1" t="str">
        <f>"Florida/US"</f>
        <v>Florida/US</v>
      </c>
      <c r="F489" s="1" t="str">
        <f>"Christopher"</f>
        <v>Christopher</v>
      </c>
      <c r="G489" s="1" t="str">
        <f>"Velazco"</f>
        <v>Velazco</v>
      </c>
      <c r="H489" s="1" t="str">
        <f>"AutreFederation"</f>
        <v>AutreFederation</v>
      </c>
      <c r="I489" s="1" t="str">
        <f t="shared" si="63"/>
        <v>M</v>
      </c>
      <c r="J489" s="2">
        <v>2005</v>
      </c>
      <c r="K489" s="1" t="str">
        <f>"2k+"</f>
        <v>2k+</v>
      </c>
      <c r="L489" s="1" t="str">
        <f>"U16"</f>
        <v>U16</v>
      </c>
      <c r="M489" s="1" t="str">
        <f t="shared" si="64"/>
        <v>-42</v>
      </c>
      <c r="N489" s="1" t="str">
        <f>""</f>
        <v/>
      </c>
      <c r="O489" s="1">
        <v>1</v>
      </c>
      <c r="P489" s="1"/>
      <c r="Q489" t="s">
        <v>273</v>
      </c>
    </row>
    <row r="490" spans="1:17" x14ac:dyDescent="0.25">
      <c r="A490" t="str">
        <f>"2018-10-14 17:39:56"</f>
        <v>2018-10-14 17:39:56</v>
      </c>
      <c r="B490" s="1" t="str">
        <f>""</f>
        <v/>
      </c>
      <c r="C490" s="1" t="str">
        <f>"Lethbridge Kyodokan Judo Club"</f>
        <v>Lethbridge Kyodokan Judo Club</v>
      </c>
      <c r="D490" s="1" t="str">
        <f>"AB"</f>
        <v>AB</v>
      </c>
      <c r="E490" s="1" t="str">
        <f>"Alberta"</f>
        <v>Alberta</v>
      </c>
      <c r="F490" s="1" t="str">
        <f>"Evelyn"</f>
        <v>Evelyn</v>
      </c>
      <c r="G490" s="1" t="str">
        <f>"Beaton"</f>
        <v>Beaton</v>
      </c>
      <c r="H490" s="1" t="str">
        <f>"0185167"</f>
        <v>0185167</v>
      </c>
      <c r="I490" s="1" t="str">
        <f t="shared" ref="I490:I499" si="65">"F"</f>
        <v>F</v>
      </c>
      <c r="J490" s="2">
        <v>2004</v>
      </c>
      <c r="K490" s="1" t="str">
        <f>"2k"</f>
        <v>2k</v>
      </c>
      <c r="L490" s="1" t="s">
        <v>111</v>
      </c>
      <c r="M490" s="1" t="str">
        <f t="shared" ref="M490:M499" si="66">"-44"</f>
        <v>-44</v>
      </c>
      <c r="N490" s="1" t="str">
        <f>""</f>
        <v/>
      </c>
      <c r="O490" s="1">
        <v>2</v>
      </c>
      <c r="P490" s="1"/>
      <c r="Q490" t="s">
        <v>274</v>
      </c>
    </row>
    <row r="491" spans="1:17" x14ac:dyDescent="0.25">
      <c r="A491" t="str">
        <f>"2018-10-10 21:04:38"</f>
        <v>2018-10-10 21:04:38</v>
      </c>
      <c r="B491" s="1" t="str">
        <f>"2018-10-25 08:18:39"</f>
        <v>2018-10-25 08:18:39</v>
      </c>
      <c r="C491" s="1" t="str">
        <f>"Burnaby Judo Club"</f>
        <v>Burnaby Judo Club</v>
      </c>
      <c r="D491" s="1" t="str">
        <f>"BC"</f>
        <v>BC</v>
      </c>
      <c r="E491" s="1" t="str">
        <f>"British Columbia"</f>
        <v>British Columbia</v>
      </c>
      <c r="F491" s="1" t="str">
        <f>"Ekaterina"</f>
        <v>Ekaterina</v>
      </c>
      <c r="G491" s="1" t="str">
        <f>"Danilkov"</f>
        <v>Danilkov</v>
      </c>
      <c r="H491" s="1" t="str">
        <f>"0198474"</f>
        <v>0198474</v>
      </c>
      <c r="I491" s="1" t="str">
        <f t="shared" si="65"/>
        <v>F</v>
      </c>
      <c r="J491" s="2">
        <v>2005</v>
      </c>
      <c r="K491" s="1" t="str">
        <f>"2k"</f>
        <v>2k</v>
      </c>
      <c r="L491" s="1" t="str">
        <f>"U16"</f>
        <v>U16</v>
      </c>
      <c r="M491" s="1" t="str">
        <f t="shared" si="66"/>
        <v>-44</v>
      </c>
      <c r="N491" s="1" t="str">
        <f>""</f>
        <v/>
      </c>
      <c r="O491" s="1">
        <v>1</v>
      </c>
      <c r="P491" s="1"/>
      <c r="Q491" t="s">
        <v>274</v>
      </c>
    </row>
    <row r="492" spans="1:17" x14ac:dyDescent="0.25">
      <c r="A492" t="str">
        <f>"2018-09-26 12:26:56"</f>
        <v>2018-09-26 12:26:56</v>
      </c>
      <c r="B492" s="1" t="str">
        <f>""</f>
        <v/>
      </c>
      <c r="C492" s="1" t="str">
        <f>"Steveston Judo Club"</f>
        <v>Steveston Judo Club</v>
      </c>
      <c r="D492" s="1" t="str">
        <f>"BC"</f>
        <v>BC</v>
      </c>
      <c r="E492" s="1" t="str">
        <f>"British Columbia"</f>
        <v>British Columbia</v>
      </c>
      <c r="F492" s="1" t="str">
        <f>"Kylee"</f>
        <v>Kylee</v>
      </c>
      <c r="G492" s="1" t="str">
        <f>"Esparbes"</f>
        <v>Esparbes</v>
      </c>
      <c r="H492" s="1" t="str">
        <f>"0180828"</f>
        <v>0180828</v>
      </c>
      <c r="I492" s="1" t="str">
        <f t="shared" si="65"/>
        <v>F</v>
      </c>
      <c r="J492" s="2">
        <v>2005</v>
      </c>
      <c r="K492" s="1" t="str">
        <f>"3k"</f>
        <v>3k</v>
      </c>
      <c r="L492" s="1" t="str">
        <f>"U16"</f>
        <v>U16</v>
      </c>
      <c r="M492" s="1" t="str">
        <f t="shared" si="66"/>
        <v>-44</v>
      </c>
      <c r="N492" s="1" t="str">
        <f>""</f>
        <v/>
      </c>
      <c r="O492" s="1">
        <v>1</v>
      </c>
      <c r="P492" s="1"/>
      <c r="Q492" t="s">
        <v>274</v>
      </c>
    </row>
    <row r="493" spans="1:17" x14ac:dyDescent="0.25">
      <c r="A493" t="str">
        <f>"2018-10-19 19:03:31"</f>
        <v>2018-10-19 19:03:31</v>
      </c>
      <c r="B493" s="1" t="str">
        <f>""</f>
        <v/>
      </c>
      <c r="C493" s="1" t="str">
        <f>"Académie de Judo de Sept-Iles Inc."</f>
        <v>Académie de Judo de Sept-Iles Inc.</v>
      </c>
      <c r="D493" s="1" t="str">
        <f>"QC"</f>
        <v>QC</v>
      </c>
      <c r="E493" s="1" t="str">
        <f>"Quebec"</f>
        <v>Quebec</v>
      </c>
      <c r="F493" s="1" t="str">
        <f>"Naomie"</f>
        <v>Naomie</v>
      </c>
      <c r="G493" s="1" t="str">
        <f>"Gagnon"</f>
        <v>Gagnon</v>
      </c>
      <c r="H493" s="1" t="str">
        <f>"0162639"</f>
        <v>0162639</v>
      </c>
      <c r="I493" s="1" t="str">
        <f t="shared" si="65"/>
        <v>F</v>
      </c>
      <c r="J493" s="2">
        <v>2005</v>
      </c>
      <c r="K493" s="1" t="str">
        <f>"2k"</f>
        <v>2k</v>
      </c>
      <c r="L493" s="1" t="str">
        <f>"U16"</f>
        <v>U16</v>
      </c>
      <c r="M493" s="1" t="str">
        <f t="shared" si="66"/>
        <v>-44</v>
      </c>
      <c r="N493" s="1" t="str">
        <f>""</f>
        <v/>
      </c>
      <c r="O493" s="1">
        <v>1</v>
      </c>
      <c r="P493" s="1"/>
      <c r="Q493" t="s">
        <v>274</v>
      </c>
    </row>
    <row r="494" spans="1:17" x14ac:dyDescent="0.25">
      <c r="A494" t="str">
        <f>"2018-10-16 16:00:17"</f>
        <v>2018-10-16 16:00:17</v>
      </c>
      <c r="B494" s="1" t="str">
        <f>""</f>
        <v/>
      </c>
      <c r="C494" s="1" t="str">
        <f>"Club Judokan Port Cartier"</f>
        <v>Club Judokan Port Cartier</v>
      </c>
      <c r="D494" s="1" t="str">
        <f>"QC"</f>
        <v>QC</v>
      </c>
      <c r="E494" s="1" t="str">
        <f>"Quebec"</f>
        <v>Quebec</v>
      </c>
      <c r="F494" s="1" t="str">
        <f>"Sophie"</f>
        <v>Sophie</v>
      </c>
      <c r="G494" s="1" t="str">
        <f>"Lapointe"</f>
        <v>Lapointe</v>
      </c>
      <c r="H494" s="1" t="str">
        <f>"0189028"</f>
        <v>0189028</v>
      </c>
      <c r="I494" s="1" t="str">
        <f t="shared" si="65"/>
        <v>F</v>
      </c>
      <c r="J494" s="2">
        <v>2004</v>
      </c>
      <c r="K494" s="1" t="str">
        <f>"1k"</f>
        <v>1k</v>
      </c>
      <c r="L494" s="1" t="s">
        <v>111</v>
      </c>
      <c r="M494" s="1" t="str">
        <f t="shared" si="66"/>
        <v>-44</v>
      </c>
      <c r="N494" s="1" t="str">
        <f>"-44"</f>
        <v>-44</v>
      </c>
      <c r="O494" s="1">
        <v>2</v>
      </c>
      <c r="P494" s="1"/>
      <c r="Q494" t="s">
        <v>274</v>
      </c>
    </row>
    <row r="495" spans="1:17" x14ac:dyDescent="0.25">
      <c r="A495" t="str">
        <f>"2018-10-01 12:09:37"</f>
        <v>2018-10-01 12:09:37</v>
      </c>
      <c r="B495" s="1" t="str">
        <f>""</f>
        <v/>
      </c>
      <c r="C495" s="1" t="str">
        <f>"Paineiras do Morumby"</f>
        <v>Paineiras do Morumby</v>
      </c>
      <c r="D495" s="1" t="s">
        <v>164</v>
      </c>
      <c r="E495" s="1" t="str">
        <f>"Brazil"</f>
        <v>Brazil</v>
      </c>
      <c r="F495" s="1" t="str">
        <f>"Luiza"</f>
        <v>Luiza</v>
      </c>
      <c r="G495" s="1" t="str">
        <f>"Lukata"</f>
        <v>Lukata</v>
      </c>
      <c r="H495" s="1" t="str">
        <f>"AutreFederation"</f>
        <v>AutreFederation</v>
      </c>
      <c r="I495" s="1" t="str">
        <f t="shared" si="65"/>
        <v>F</v>
      </c>
      <c r="J495" s="2">
        <v>2005</v>
      </c>
      <c r="K495" s="1" t="str">
        <f>"3k"</f>
        <v>3k</v>
      </c>
      <c r="L495" s="1" t="str">
        <f>"U16"</f>
        <v>U16</v>
      </c>
      <c r="M495" s="1" t="str">
        <f t="shared" si="66"/>
        <v>-44</v>
      </c>
      <c r="N495" s="1" t="str">
        <f>""</f>
        <v/>
      </c>
      <c r="O495" s="1">
        <v>1</v>
      </c>
      <c r="P495" s="1"/>
      <c r="Q495" t="s">
        <v>274</v>
      </c>
    </row>
    <row r="496" spans="1:17" x14ac:dyDescent="0.25">
      <c r="A496" t="str">
        <f>"2018-09-26 12:26:56"</f>
        <v>2018-09-26 12:26:56</v>
      </c>
      <c r="B496" s="1" t="str">
        <f>""</f>
        <v/>
      </c>
      <c r="C496" s="1" t="str">
        <f>"Upper Canada Judo Club"</f>
        <v>Upper Canada Judo Club</v>
      </c>
      <c r="D496" s="1" t="str">
        <f>"ON"</f>
        <v>ON</v>
      </c>
      <c r="E496" s="1" t="str">
        <f>"Ontario"</f>
        <v>Ontario</v>
      </c>
      <c r="F496" s="1" t="str">
        <f>"Angelina"</f>
        <v>Angelina</v>
      </c>
      <c r="G496" s="1" t="str">
        <f>"McCristall"</f>
        <v>McCristall</v>
      </c>
      <c r="H496" s="1" t="str">
        <f>"0192503"</f>
        <v>0192503</v>
      </c>
      <c r="I496" s="1" t="str">
        <f t="shared" si="65"/>
        <v>F</v>
      </c>
      <c r="J496" s="2">
        <v>2005</v>
      </c>
      <c r="K496" s="1" t="str">
        <f>"2k"</f>
        <v>2k</v>
      </c>
      <c r="L496" s="1" t="str">
        <f>"U16"</f>
        <v>U16</v>
      </c>
      <c r="M496" s="1" t="str">
        <f t="shared" si="66"/>
        <v>-44</v>
      </c>
      <c r="N496" s="1" t="str">
        <f>""</f>
        <v/>
      </c>
      <c r="O496" s="1">
        <v>1</v>
      </c>
      <c r="P496" s="1"/>
      <c r="Q496" t="s">
        <v>274</v>
      </c>
    </row>
    <row r="497" spans="1:17" x14ac:dyDescent="0.25">
      <c r="B497" s="1" t="str">
        <f>""</f>
        <v/>
      </c>
      <c r="C497" s="1" t="str">
        <f>"Challenge Sports Club"</f>
        <v>Challenge Sports Club</v>
      </c>
      <c r="D497" s="1" t="str">
        <f>"ON"</f>
        <v>ON</v>
      </c>
      <c r="E497" s="1" t="str">
        <f>"Ontario"</f>
        <v>Ontario</v>
      </c>
      <c r="F497" s="1" t="str">
        <f>"Naomi"</f>
        <v>Naomi</v>
      </c>
      <c r="G497" s="1" t="str">
        <f>"Mezheritsky"</f>
        <v>Mezheritsky</v>
      </c>
      <c r="H497" s="1" t="str">
        <f>"0195477"</f>
        <v>0195477</v>
      </c>
      <c r="I497" s="1" t="str">
        <f t="shared" si="65"/>
        <v>F</v>
      </c>
      <c r="J497" s="1">
        <v>2004</v>
      </c>
      <c r="K497" s="1" t="s">
        <v>80</v>
      </c>
      <c r="L497" s="1" t="str">
        <f>"U16"</f>
        <v>U16</v>
      </c>
      <c r="M497" s="1" t="str">
        <f t="shared" si="66"/>
        <v>-44</v>
      </c>
      <c r="N497" s="1"/>
      <c r="O497" s="1">
        <v>1</v>
      </c>
      <c r="P497" s="1"/>
      <c r="Q497" t="s">
        <v>274</v>
      </c>
    </row>
    <row r="498" spans="1:17" x14ac:dyDescent="0.25">
      <c r="A498" t="str">
        <f>"2018-10-10 12:33:31"</f>
        <v>2018-10-10 12:33:31</v>
      </c>
      <c r="B498" s="1" t="str">
        <f>""</f>
        <v/>
      </c>
      <c r="C498" s="1" t="str">
        <f>"Lloydminster Judo Club"</f>
        <v>Lloydminster Judo Club</v>
      </c>
      <c r="D498" s="1" t="str">
        <f>"SK"</f>
        <v>SK</v>
      </c>
      <c r="E498" s="1" t="str">
        <f>"Saskatchewan"</f>
        <v>Saskatchewan</v>
      </c>
      <c r="F498" s="1" t="str">
        <f>"Devrie"</f>
        <v>Devrie</v>
      </c>
      <c r="G498" s="1" t="str">
        <f>"Newsted"</f>
        <v>Newsted</v>
      </c>
      <c r="H498" s="1" t="str">
        <f>"0225733"</f>
        <v>0225733</v>
      </c>
      <c r="I498" s="1" t="str">
        <f t="shared" si="65"/>
        <v>F</v>
      </c>
      <c r="J498" s="2">
        <v>2004</v>
      </c>
      <c r="K498" s="1" t="str">
        <f>"3k"</f>
        <v>3k</v>
      </c>
      <c r="L498" s="1" t="str">
        <f>"U16"</f>
        <v>U16</v>
      </c>
      <c r="M498" s="1" t="str">
        <f t="shared" si="66"/>
        <v>-44</v>
      </c>
      <c r="N498" s="1" t="str">
        <f>""</f>
        <v/>
      </c>
      <c r="O498" s="1">
        <v>1</v>
      </c>
      <c r="P498" s="1"/>
      <c r="Q498" t="s">
        <v>274</v>
      </c>
    </row>
    <row r="499" spans="1:17" x14ac:dyDescent="0.25">
      <c r="A499" t="str">
        <f>"2018-10-09 14:42:11"</f>
        <v>2018-10-09 14:42:11</v>
      </c>
      <c r="B499" s="1" t="str">
        <f>""</f>
        <v/>
      </c>
      <c r="C499" s="1" t="str">
        <f>"Académie de judo de Saint-Sauveur"</f>
        <v>Académie de judo de Saint-Sauveur</v>
      </c>
      <c r="D499" s="1" t="str">
        <f>"QC"</f>
        <v>QC</v>
      </c>
      <c r="E499" s="1" t="str">
        <f>"Quebec"</f>
        <v>Quebec</v>
      </c>
      <c r="F499" s="1" t="str">
        <f>"Marie-Lune"</f>
        <v>Marie-Lune</v>
      </c>
      <c r="G499" s="1" t="str">
        <f>"Turmel"</f>
        <v>Turmel</v>
      </c>
      <c r="H499" s="1" t="str">
        <f>"0197729"</f>
        <v>0197729</v>
      </c>
      <c r="I499" s="1" t="str">
        <f t="shared" si="65"/>
        <v>F</v>
      </c>
      <c r="J499" s="2">
        <v>2004</v>
      </c>
      <c r="K499" s="1" t="str">
        <f>"2k"</f>
        <v>2k</v>
      </c>
      <c r="L499" s="1" t="str">
        <f>"U16"</f>
        <v>U16</v>
      </c>
      <c r="M499" s="1" t="str">
        <f t="shared" si="66"/>
        <v>-44</v>
      </c>
      <c r="N499" s="1" t="str">
        <f>""</f>
        <v/>
      </c>
      <c r="O499" s="1">
        <v>1</v>
      </c>
      <c r="P499" s="1"/>
      <c r="Q499" t="s">
        <v>274</v>
      </c>
    </row>
    <row r="500" spans="1:17" x14ac:dyDescent="0.25">
      <c r="A500" t="str">
        <f>"2018-10-21 16:07:02"</f>
        <v>2018-10-21 16:07:02</v>
      </c>
      <c r="B500" s="1" t="str">
        <f>""</f>
        <v/>
      </c>
      <c r="C500" s="1" t="str">
        <f>"Lethbridge Kyodokan Judo Club"</f>
        <v>Lethbridge Kyodokan Judo Club</v>
      </c>
      <c r="D500" s="1" t="str">
        <f>"AB"</f>
        <v>AB</v>
      </c>
      <c r="E500" s="1" t="str">
        <f>"Alberta"</f>
        <v>Alberta</v>
      </c>
      <c r="F500" s="1" t="str">
        <f>"Philip"</f>
        <v>Philip</v>
      </c>
      <c r="G500" s="1" t="str">
        <f>"Allen"</f>
        <v>Allen</v>
      </c>
      <c r="H500" s="1" t="str">
        <f>"0198996"</f>
        <v>0198996</v>
      </c>
      <c r="I500" s="1" t="str">
        <f t="shared" ref="I500:I516" si="67">"M"</f>
        <v>M</v>
      </c>
      <c r="J500" s="2">
        <v>2004</v>
      </c>
      <c r="K500" s="1" t="str">
        <f>"3k"</f>
        <v>3k</v>
      </c>
      <c r="L500" s="1" t="s">
        <v>111</v>
      </c>
      <c r="M500" s="1" t="str">
        <f t="shared" ref="M500:M516" si="68">"-46"</f>
        <v>-46</v>
      </c>
      <c r="N500" s="1" t="str">
        <f>"-46kg"</f>
        <v>-46kg</v>
      </c>
      <c r="O500" s="1">
        <v>2</v>
      </c>
      <c r="P500" s="1"/>
      <c r="Q500" t="s">
        <v>275</v>
      </c>
    </row>
    <row r="501" spans="1:17" x14ac:dyDescent="0.25">
      <c r="A501" t="str">
        <f>"2018-10-19 19:28:45"</f>
        <v>2018-10-19 19:28:45</v>
      </c>
      <c r="B501" s="1" t="str">
        <f>""</f>
        <v/>
      </c>
      <c r="C501" s="1" t="str">
        <f>"Dojo Zenshin"</f>
        <v>Dojo Zenshin</v>
      </c>
      <c r="D501" s="1" t="str">
        <f>"QC"</f>
        <v>QC</v>
      </c>
      <c r="E501" s="1" t="str">
        <f>"Quebec"</f>
        <v>Quebec</v>
      </c>
      <c r="F501" s="1" t="str">
        <f>"Xavier"</f>
        <v>Xavier</v>
      </c>
      <c r="G501" s="1" t="str">
        <f>"Boulet"</f>
        <v>Boulet</v>
      </c>
      <c r="H501" s="1" t="str">
        <f>"0203880"</f>
        <v>0203880</v>
      </c>
      <c r="I501" s="1" t="str">
        <f t="shared" si="67"/>
        <v>M</v>
      </c>
      <c r="J501" s="2">
        <v>2005</v>
      </c>
      <c r="K501" s="1" t="str">
        <f>"3k"</f>
        <v>3k</v>
      </c>
      <c r="L501" s="1" t="str">
        <f t="shared" ref="L501:L509" si="69">"U16"</f>
        <v>U16</v>
      </c>
      <c r="M501" s="1" t="str">
        <f t="shared" si="68"/>
        <v>-46</v>
      </c>
      <c r="N501" s="1" t="str">
        <f>""</f>
        <v/>
      </c>
      <c r="O501" s="1">
        <v>1</v>
      </c>
      <c r="P501" s="1"/>
      <c r="Q501" t="s">
        <v>275</v>
      </c>
    </row>
    <row r="502" spans="1:17" x14ac:dyDescent="0.25">
      <c r="B502" s="1" t="str">
        <f>""</f>
        <v/>
      </c>
      <c r="C502" s="1" t="str">
        <f>"Yawara Force Judo"</f>
        <v>Yawara Force Judo</v>
      </c>
      <c r="D502" s="1" t="s">
        <v>106</v>
      </c>
      <c r="E502" s="1" t="s">
        <v>106</v>
      </c>
      <c r="F502" s="1" t="str">
        <f>"Pavel"</f>
        <v>Pavel</v>
      </c>
      <c r="G502" s="1" t="str">
        <f>"Bulko"</f>
        <v>Bulko</v>
      </c>
      <c r="H502" s="1" t="str">
        <f>"AutreFederation"</f>
        <v>AutreFederation</v>
      </c>
      <c r="I502" s="1" t="str">
        <f t="shared" si="67"/>
        <v>M</v>
      </c>
      <c r="J502" s="1">
        <v>2005</v>
      </c>
      <c r="K502" s="1" t="s">
        <v>80</v>
      </c>
      <c r="L502" s="1" t="str">
        <f t="shared" si="69"/>
        <v>U16</v>
      </c>
      <c r="M502" s="1" t="str">
        <f t="shared" si="68"/>
        <v>-46</v>
      </c>
      <c r="N502" s="1"/>
      <c r="O502" s="1">
        <v>1</v>
      </c>
      <c r="P502" s="1"/>
      <c r="Q502" t="s">
        <v>275</v>
      </c>
    </row>
    <row r="503" spans="1:17" x14ac:dyDescent="0.25">
      <c r="A503" t="str">
        <f>"2018-10-23 14:57:12"</f>
        <v>2018-10-23 14:57:12</v>
      </c>
      <c r="B503" s="1" t="str">
        <f>""</f>
        <v/>
      </c>
      <c r="C503" s="1" t="str">
        <f>"Club de judo Rouyn-Noranda"</f>
        <v>Club de judo Rouyn-Noranda</v>
      </c>
      <c r="D503" s="1" t="str">
        <f>"QC"</f>
        <v>QC</v>
      </c>
      <c r="E503" s="1" t="str">
        <f>"Quebec"</f>
        <v>Quebec</v>
      </c>
      <c r="F503" s="1" t="str">
        <f>"Jérôme"</f>
        <v>Jérôme</v>
      </c>
      <c r="G503" s="1" t="str">
        <f>"Côté-Tondreau"</f>
        <v>Côté-Tondreau</v>
      </c>
      <c r="H503" s="1" t="str">
        <f>"0178096"</f>
        <v>0178096</v>
      </c>
      <c r="I503" s="1" t="str">
        <f t="shared" si="67"/>
        <v>M</v>
      </c>
      <c r="J503" s="2">
        <v>2005</v>
      </c>
      <c r="K503" s="1" t="str">
        <f>"2k"</f>
        <v>2k</v>
      </c>
      <c r="L503" s="1" t="str">
        <f t="shared" si="69"/>
        <v>U16</v>
      </c>
      <c r="M503" s="1" t="str">
        <f t="shared" si="68"/>
        <v>-46</v>
      </c>
      <c r="N503" s="1" t="str">
        <f>""</f>
        <v/>
      </c>
      <c r="O503" s="1">
        <v>1</v>
      </c>
      <c r="P503" s="1"/>
      <c r="Q503" t="s">
        <v>275</v>
      </c>
    </row>
    <row r="504" spans="1:17" x14ac:dyDescent="0.25">
      <c r="B504" s="1" t="str">
        <f>""</f>
        <v/>
      </c>
      <c r="C504" s="1" t="str">
        <f>"Judosphère"</f>
        <v>Judosphère</v>
      </c>
      <c r="D504" s="1" t="str">
        <f>"QC"</f>
        <v>QC</v>
      </c>
      <c r="E504" s="1" t="str">
        <f>"Quebec"</f>
        <v>Quebec</v>
      </c>
      <c r="F504" s="1" t="str">
        <f>"Loïc"</f>
        <v>Loïc</v>
      </c>
      <c r="G504" s="1" t="str">
        <f>"Croussette"</f>
        <v>Croussette</v>
      </c>
      <c r="H504" s="1" t="str">
        <f>"0171801"</f>
        <v>0171801</v>
      </c>
      <c r="I504" s="1" t="str">
        <f t="shared" si="67"/>
        <v>M</v>
      </c>
      <c r="J504" s="1">
        <v>2004</v>
      </c>
      <c r="K504" s="1" t="str">
        <f>"1k"</f>
        <v>1k</v>
      </c>
      <c r="L504" s="1" t="str">
        <f t="shared" si="69"/>
        <v>U16</v>
      </c>
      <c r="M504" s="1" t="str">
        <f t="shared" si="68"/>
        <v>-46</v>
      </c>
      <c r="N504" s="1"/>
      <c r="O504" s="1">
        <v>1</v>
      </c>
      <c r="P504" s="1"/>
      <c r="Q504" t="s">
        <v>275</v>
      </c>
    </row>
    <row r="505" spans="1:17" x14ac:dyDescent="0.25">
      <c r="A505" t="str">
        <f>"2018-10-21 17:45:08"</f>
        <v>2018-10-21 17:45:08</v>
      </c>
      <c r="B505" s="1" t="str">
        <f>""</f>
        <v/>
      </c>
      <c r="C505" s="1" t="str">
        <f>"Dojo Perrot Shima"</f>
        <v>Dojo Perrot Shima</v>
      </c>
      <c r="D505" s="1" t="str">
        <f>"QC"</f>
        <v>QC</v>
      </c>
      <c r="E505" s="1" t="str">
        <f>"Quebec"</f>
        <v>Quebec</v>
      </c>
      <c r="F505" s="1" t="str">
        <f>"Tyler"</f>
        <v>Tyler</v>
      </c>
      <c r="G505" s="1" t="str">
        <f>"D'arterio"</f>
        <v>D'arterio</v>
      </c>
      <c r="H505" s="1" t="str">
        <f>"0163862"</f>
        <v>0163862</v>
      </c>
      <c r="I505" s="1" t="str">
        <f t="shared" si="67"/>
        <v>M</v>
      </c>
      <c r="J505" s="2">
        <v>2004</v>
      </c>
      <c r="K505" s="1" t="str">
        <f>"1k"</f>
        <v>1k</v>
      </c>
      <c r="L505" s="1" t="str">
        <f t="shared" si="69"/>
        <v>U16</v>
      </c>
      <c r="M505" s="1" t="str">
        <f t="shared" si="68"/>
        <v>-46</v>
      </c>
      <c r="N505" s="1" t="str">
        <f>""</f>
        <v/>
      </c>
      <c r="O505" s="1">
        <v>1</v>
      </c>
      <c r="P505" s="1"/>
      <c r="Q505" t="s">
        <v>275</v>
      </c>
    </row>
    <row r="506" spans="1:17" x14ac:dyDescent="0.25">
      <c r="A506" t="str">
        <f>"2018-10-18 19:13:35"</f>
        <v>2018-10-18 19:13:35</v>
      </c>
      <c r="B506" s="1" t="str">
        <f>""</f>
        <v/>
      </c>
      <c r="C506" s="1" t="str">
        <f>"Club judokas Jonquière inc."</f>
        <v>Club judokas Jonquière inc.</v>
      </c>
      <c r="D506" s="1" t="str">
        <f>"QC"</f>
        <v>QC</v>
      </c>
      <c r="E506" s="1" t="str">
        <f>"Quebec"</f>
        <v>Quebec</v>
      </c>
      <c r="F506" s="1" t="str">
        <f>"Alexandre"</f>
        <v>Alexandre</v>
      </c>
      <c r="G506" s="1" t="str">
        <f>"Desbiens"</f>
        <v>Desbiens</v>
      </c>
      <c r="H506" s="1" t="str">
        <f>"0163277"</f>
        <v>0163277</v>
      </c>
      <c r="I506" s="1" t="str">
        <f t="shared" si="67"/>
        <v>M</v>
      </c>
      <c r="J506" s="2">
        <v>2004</v>
      </c>
      <c r="K506" s="1" t="str">
        <f>"1k"</f>
        <v>1k</v>
      </c>
      <c r="L506" s="1" t="str">
        <f t="shared" si="69"/>
        <v>U16</v>
      </c>
      <c r="M506" s="1" t="str">
        <f t="shared" si="68"/>
        <v>-46</v>
      </c>
      <c r="N506" s="1" t="str">
        <f>""</f>
        <v/>
      </c>
      <c r="O506" s="1">
        <v>1</v>
      </c>
      <c r="P506" s="1"/>
      <c r="Q506" t="s">
        <v>275</v>
      </c>
    </row>
    <row r="507" spans="1:17" x14ac:dyDescent="0.25">
      <c r="A507" t="str">
        <f>"2018-10-19 19:28:45"</f>
        <v>2018-10-19 19:28:45</v>
      </c>
      <c r="B507" s="1" t="str">
        <f>""</f>
        <v/>
      </c>
      <c r="C507" s="1" t="str">
        <f>"Club de judo Métropolitain inc."</f>
        <v>Club de judo Métropolitain inc.</v>
      </c>
      <c r="D507" s="1" t="str">
        <f>"QC"</f>
        <v>QC</v>
      </c>
      <c r="E507" s="1" t="str">
        <f>"Quebec"</f>
        <v>Quebec</v>
      </c>
      <c r="F507" s="1" t="str">
        <f>"Zakaria"</f>
        <v>Zakaria</v>
      </c>
      <c r="G507" s="1" t="str">
        <f>"Djeraba"</f>
        <v>Djeraba</v>
      </c>
      <c r="H507" s="1" t="str">
        <f>"0197657"</f>
        <v>0197657</v>
      </c>
      <c r="I507" s="1" t="str">
        <f t="shared" si="67"/>
        <v>M</v>
      </c>
      <c r="J507" s="2">
        <v>2005</v>
      </c>
      <c r="K507" s="1" t="str">
        <f>"3k"</f>
        <v>3k</v>
      </c>
      <c r="L507" s="1" t="str">
        <f t="shared" si="69"/>
        <v>U16</v>
      </c>
      <c r="M507" s="1" t="str">
        <f t="shared" si="68"/>
        <v>-46</v>
      </c>
      <c r="N507" s="1" t="str">
        <f>""</f>
        <v/>
      </c>
      <c r="O507" s="1">
        <v>1</v>
      </c>
      <c r="P507" s="1"/>
      <c r="Q507" t="s">
        <v>275</v>
      </c>
    </row>
    <row r="508" spans="1:17" x14ac:dyDescent="0.25">
      <c r="A508" t="str">
        <f>"2018-10-17 21:32:34"</f>
        <v>2018-10-17 21:32:34</v>
      </c>
      <c r="B508" s="1" t="str">
        <f>""</f>
        <v/>
      </c>
      <c r="C508" s="1" t="str">
        <f>"Lethbridge Kyodokan Judo Club"</f>
        <v>Lethbridge Kyodokan Judo Club</v>
      </c>
      <c r="D508" s="1" t="str">
        <f>"AB"</f>
        <v>AB</v>
      </c>
      <c r="E508" s="1" t="str">
        <f>"Alberta"</f>
        <v>Alberta</v>
      </c>
      <c r="F508" s="1" t="str">
        <f>"Troy"</f>
        <v>Troy</v>
      </c>
      <c r="G508" s="1" t="str">
        <f>"Gallant"</f>
        <v>Gallant</v>
      </c>
      <c r="H508" s="1" t="str">
        <f>"0172504"</f>
        <v>0172504</v>
      </c>
      <c r="I508" s="1" t="str">
        <f t="shared" si="67"/>
        <v>M</v>
      </c>
      <c r="J508" s="2">
        <v>2005</v>
      </c>
      <c r="K508" s="1" t="str">
        <f>"3k"</f>
        <v>3k</v>
      </c>
      <c r="L508" s="1" t="str">
        <f t="shared" si="69"/>
        <v>U16</v>
      </c>
      <c r="M508" s="1" t="str">
        <f t="shared" si="68"/>
        <v>-46</v>
      </c>
      <c r="N508" s="1" t="str">
        <f>""</f>
        <v/>
      </c>
      <c r="O508" s="1">
        <v>1</v>
      </c>
      <c r="P508" s="1"/>
      <c r="Q508" t="s">
        <v>275</v>
      </c>
    </row>
    <row r="509" spans="1:17" x14ac:dyDescent="0.25">
      <c r="A509" t="str">
        <f>"2018-10-18 18:33:12"</f>
        <v>2018-10-18 18:33:12</v>
      </c>
      <c r="B509" s="1" t="str">
        <f>""</f>
        <v/>
      </c>
      <c r="C509" s="1" t="str">
        <f>"Hiro's Judo Club"</f>
        <v>Hiro's Judo Club</v>
      </c>
      <c r="D509" s="1" t="str">
        <f>"AB"</f>
        <v>AB</v>
      </c>
      <c r="E509" s="1" t="str">
        <f>"Alberta"</f>
        <v>Alberta</v>
      </c>
      <c r="F509" s="1" t="str">
        <f>"Keenan"</f>
        <v>Keenan</v>
      </c>
      <c r="G509" s="1" t="str">
        <f>"Hanearin-Balczer"</f>
        <v>Hanearin-Balczer</v>
      </c>
      <c r="H509" s="1" t="str">
        <f>"0173102"</f>
        <v>0173102</v>
      </c>
      <c r="I509" s="1" t="str">
        <f t="shared" si="67"/>
        <v>M</v>
      </c>
      <c r="J509" s="2">
        <v>2005</v>
      </c>
      <c r="K509" s="1" t="str">
        <f>"3k"</f>
        <v>3k</v>
      </c>
      <c r="L509" s="1" t="str">
        <f t="shared" si="69"/>
        <v>U16</v>
      </c>
      <c r="M509" s="1" t="str">
        <f t="shared" si="68"/>
        <v>-46</v>
      </c>
      <c r="N509" s="1" t="str">
        <f>""</f>
        <v/>
      </c>
      <c r="O509" s="1">
        <v>1</v>
      </c>
      <c r="P509" s="1"/>
      <c r="Q509" t="s">
        <v>275</v>
      </c>
    </row>
    <row r="510" spans="1:17" x14ac:dyDescent="0.25">
      <c r="A510" t="str">
        <f>"2018-10-13 17:28:27"</f>
        <v>2018-10-13 17:28:27</v>
      </c>
      <c r="B510" s="1" t="str">
        <f>""</f>
        <v/>
      </c>
      <c r="C510" s="1" t="str">
        <f>"Rikidokan Judo Club"</f>
        <v>Rikidokan Judo Club</v>
      </c>
      <c r="D510" s="1" t="str">
        <f>"PE"</f>
        <v>PE</v>
      </c>
      <c r="E510" s="1" t="str">
        <f>"Prince Edward Island"</f>
        <v>Prince Edward Island</v>
      </c>
      <c r="F510" s="1" t="str">
        <f>"Rj"</f>
        <v>Rj</v>
      </c>
      <c r="G510" s="1" t="str">
        <f>"Hetherington"</f>
        <v>Hetherington</v>
      </c>
      <c r="H510" s="1" t="str">
        <f>"0224603"</f>
        <v>0224603</v>
      </c>
      <c r="I510" s="1" t="str">
        <f t="shared" si="67"/>
        <v>M</v>
      </c>
      <c r="J510" s="2">
        <v>2004</v>
      </c>
      <c r="K510" s="1" t="str">
        <f>"2k"</f>
        <v>2k</v>
      </c>
      <c r="L510" s="1" t="s">
        <v>111</v>
      </c>
      <c r="M510" s="1" t="str">
        <f t="shared" si="68"/>
        <v>-46</v>
      </c>
      <c r="N510" s="1" t="str">
        <f>""</f>
        <v/>
      </c>
      <c r="O510" s="1">
        <v>2</v>
      </c>
      <c r="P510" s="1"/>
      <c r="Q510" t="s">
        <v>275</v>
      </c>
    </row>
    <row r="511" spans="1:17" x14ac:dyDescent="0.25">
      <c r="A511" t="str">
        <f>"2018-10-18 11:53:55"</f>
        <v>2018-10-18 11:53:55</v>
      </c>
      <c r="B511" s="1" t="str">
        <f>""</f>
        <v/>
      </c>
      <c r="C511" s="1" t="str">
        <f>"Hayabusakan"</f>
        <v>Hayabusakan</v>
      </c>
      <c r="D511" s="1" t="str">
        <f>"ON"</f>
        <v>ON</v>
      </c>
      <c r="E511" s="1" t="str">
        <f>"Ontario"</f>
        <v>Ontario</v>
      </c>
      <c r="F511" s="1" t="str">
        <f>"Evan"</f>
        <v>Evan</v>
      </c>
      <c r="G511" s="1" t="str">
        <f>"Hyde"</f>
        <v>Hyde</v>
      </c>
      <c r="H511" s="1" t="str">
        <f>"6421"</f>
        <v>6421</v>
      </c>
      <c r="I511" s="1" t="str">
        <f t="shared" si="67"/>
        <v>M</v>
      </c>
      <c r="J511" s="2">
        <v>2004</v>
      </c>
      <c r="K511" s="1" t="str">
        <f>"3k"</f>
        <v>3k</v>
      </c>
      <c r="L511" s="1" t="str">
        <f>"U16"</f>
        <v>U16</v>
      </c>
      <c r="M511" s="1" t="str">
        <f t="shared" si="68"/>
        <v>-46</v>
      </c>
      <c r="N511" s="1" t="str">
        <f>""</f>
        <v/>
      </c>
      <c r="O511" s="1">
        <v>1</v>
      </c>
      <c r="P511" s="1"/>
      <c r="Q511" t="s">
        <v>275</v>
      </c>
    </row>
    <row r="512" spans="1:17" x14ac:dyDescent="0.25">
      <c r="A512" t="str">
        <f>"2018-10-19 15:02:19"</f>
        <v>2018-10-19 15:02:19</v>
      </c>
      <c r="B512" s="1" t="str">
        <f>""</f>
        <v/>
      </c>
      <c r="C512" s="1" t="str">
        <f>"South Corman Park Judo Club"</f>
        <v>South Corman Park Judo Club</v>
      </c>
      <c r="D512" s="1" t="str">
        <f>"SK"</f>
        <v>SK</v>
      </c>
      <c r="E512" s="1" t="str">
        <f>"Saskatchewan"</f>
        <v>Saskatchewan</v>
      </c>
      <c r="F512" s="1" t="str">
        <f>"Euan"</f>
        <v>Euan</v>
      </c>
      <c r="G512" s="1" t="str">
        <f>"Litzenberger"</f>
        <v>Litzenberger</v>
      </c>
      <c r="H512" s="1" t="str">
        <f>"0162354"</f>
        <v>0162354</v>
      </c>
      <c r="I512" s="1" t="str">
        <f t="shared" si="67"/>
        <v>M</v>
      </c>
      <c r="J512" s="2">
        <v>2004</v>
      </c>
      <c r="K512" s="1" t="str">
        <f>"2k+"</f>
        <v>2k+</v>
      </c>
      <c r="L512" s="1" t="s">
        <v>111</v>
      </c>
      <c r="M512" s="1" t="str">
        <f t="shared" si="68"/>
        <v>-46</v>
      </c>
      <c r="N512" s="1" t="str">
        <f>""</f>
        <v/>
      </c>
      <c r="O512" s="1">
        <v>2</v>
      </c>
      <c r="P512" s="1"/>
      <c r="Q512" t="s">
        <v>275</v>
      </c>
    </row>
    <row r="513" spans="1:17" x14ac:dyDescent="0.25">
      <c r="A513" t="str">
        <f>"2018-10-25 11:16:01"</f>
        <v>2018-10-25 11:16:01</v>
      </c>
      <c r="B513" s="1" t="str">
        <f>""</f>
        <v/>
      </c>
      <c r="C513" s="1" t="str">
        <f>"Club de judo Olympique"</f>
        <v>Club de judo Olympique</v>
      </c>
      <c r="D513" s="1" t="str">
        <f>"QC"</f>
        <v>QC</v>
      </c>
      <c r="E513" s="1" t="str">
        <f>"Quebec"</f>
        <v>Quebec</v>
      </c>
      <c r="F513" s="1" t="str">
        <f>"Aurélien"</f>
        <v>Aurélien</v>
      </c>
      <c r="G513" s="1" t="str">
        <f>"McDougall"</f>
        <v>McDougall</v>
      </c>
      <c r="H513" s="1" t="str">
        <f>"0165633"</f>
        <v>0165633</v>
      </c>
      <c r="I513" s="1" t="str">
        <f t="shared" si="67"/>
        <v>M</v>
      </c>
      <c r="J513" s="2">
        <v>2005</v>
      </c>
      <c r="K513" s="1" t="str">
        <f>"2k"</f>
        <v>2k</v>
      </c>
      <c r="L513" s="1" t="str">
        <f t="shared" ref="L513:L527" si="70">"U16"</f>
        <v>U16</v>
      </c>
      <c r="M513" s="1" t="str">
        <f t="shared" si="68"/>
        <v>-46</v>
      </c>
      <c r="N513" s="1" t="str">
        <f>""</f>
        <v/>
      </c>
      <c r="O513" s="1">
        <v>1</v>
      </c>
      <c r="P513" s="1"/>
      <c r="Q513" t="s">
        <v>275</v>
      </c>
    </row>
    <row r="514" spans="1:17" x14ac:dyDescent="0.25">
      <c r="A514" t="str">
        <f>"2018-10-21 08:20:56"</f>
        <v>2018-10-21 08:20:56</v>
      </c>
      <c r="B514" s="1" t="str">
        <f>""</f>
        <v/>
      </c>
      <c r="C514" s="1" t="str">
        <f>"Club judokas Jonquière inc."</f>
        <v>Club judokas Jonquière inc.</v>
      </c>
      <c r="D514" s="1" t="str">
        <f>"QC"</f>
        <v>QC</v>
      </c>
      <c r="E514" s="1" t="str">
        <f>"Quebec"</f>
        <v>Quebec</v>
      </c>
      <c r="F514" s="1" t="str">
        <f>"Samuel"</f>
        <v>Samuel</v>
      </c>
      <c r="G514" s="1" t="str">
        <f>"Nepton"</f>
        <v>Nepton</v>
      </c>
      <c r="H514" s="1" t="str">
        <f>"0184296"</f>
        <v>0184296</v>
      </c>
      <c r="I514" s="1" t="str">
        <f t="shared" si="67"/>
        <v>M</v>
      </c>
      <c r="J514" s="2">
        <v>2004</v>
      </c>
      <c r="K514" s="1" t="str">
        <f>"1k"</f>
        <v>1k</v>
      </c>
      <c r="L514" s="1" t="str">
        <f t="shared" si="70"/>
        <v>U16</v>
      </c>
      <c r="M514" s="1" t="str">
        <f t="shared" si="68"/>
        <v>-46</v>
      </c>
      <c r="N514" s="1" t="str">
        <f>""</f>
        <v/>
      </c>
      <c r="O514" s="1">
        <v>1</v>
      </c>
      <c r="P514" s="1"/>
      <c r="Q514" t="s">
        <v>275</v>
      </c>
    </row>
    <row r="515" spans="1:17" x14ac:dyDescent="0.25">
      <c r="B515" s="9" t="str">
        <f>""</f>
        <v/>
      </c>
      <c r="C515" s="9" t="str">
        <f>"Club de judo Shidokan inc."</f>
        <v>Club de judo Shidokan inc.</v>
      </c>
      <c r="D515" s="9" t="str">
        <f>"QC"</f>
        <v>QC</v>
      </c>
      <c r="E515" s="9" t="str">
        <f>"Quebec"</f>
        <v>Quebec</v>
      </c>
      <c r="F515" s="9" t="str">
        <f>"Nicholas"</f>
        <v>Nicholas</v>
      </c>
      <c r="G515" s="9" t="str">
        <f>"Ouellet"</f>
        <v>Ouellet</v>
      </c>
      <c r="H515" s="9" t="str">
        <f>"0194836"</f>
        <v>0194836</v>
      </c>
      <c r="I515" s="9" t="str">
        <f t="shared" si="67"/>
        <v>M</v>
      </c>
      <c r="J515" s="9">
        <v>2005</v>
      </c>
      <c r="K515" s="9" t="s">
        <v>73</v>
      </c>
      <c r="L515" s="9" t="str">
        <f t="shared" si="70"/>
        <v>U16</v>
      </c>
      <c r="M515" s="9" t="str">
        <f t="shared" si="68"/>
        <v>-46</v>
      </c>
      <c r="N515" s="9"/>
      <c r="O515" s="9">
        <v>1</v>
      </c>
      <c r="P515" s="9"/>
      <c r="Q515" t="s">
        <v>275</v>
      </c>
    </row>
    <row r="516" spans="1:17" x14ac:dyDescent="0.25">
      <c r="A516" t="str">
        <f>"2018-10-25 17:41:07"</f>
        <v>2018-10-25 17:41:07</v>
      </c>
      <c r="B516" s="1" t="str">
        <f>""</f>
        <v/>
      </c>
      <c r="C516" s="1" t="str">
        <f>"Taifu Judo Club"</f>
        <v>Taifu Judo Club</v>
      </c>
      <c r="D516" s="1" t="str">
        <f>"ON"</f>
        <v>ON</v>
      </c>
      <c r="E516" s="1" t="str">
        <f>"Ontario"</f>
        <v>Ontario</v>
      </c>
      <c r="F516" s="1" t="str">
        <f>"Lasha"</f>
        <v>Lasha</v>
      </c>
      <c r="G516" s="1" t="str">
        <f>"Tsatsalashvili"</f>
        <v>Tsatsalashvili</v>
      </c>
      <c r="H516" s="1" t="str">
        <f>"0180306"</f>
        <v>0180306</v>
      </c>
      <c r="I516" s="1" t="str">
        <f t="shared" si="67"/>
        <v>M</v>
      </c>
      <c r="J516" s="2">
        <v>2005</v>
      </c>
      <c r="K516" s="1" t="str">
        <f>"2k"</f>
        <v>2k</v>
      </c>
      <c r="L516" s="1" t="str">
        <f t="shared" si="70"/>
        <v>U16</v>
      </c>
      <c r="M516" s="1" t="str">
        <f t="shared" si="68"/>
        <v>-46</v>
      </c>
      <c r="N516" s="1" t="str">
        <f>""</f>
        <v/>
      </c>
      <c r="O516" s="1">
        <v>1</v>
      </c>
      <c r="P516" s="1"/>
      <c r="Q516" t="s">
        <v>275</v>
      </c>
    </row>
    <row r="517" spans="1:17" x14ac:dyDescent="0.25">
      <c r="A517" t="str">
        <f>"2018-10-19 22:09:43"</f>
        <v>2018-10-19 22:09:43</v>
      </c>
      <c r="B517" s="1" t="str">
        <f>""</f>
        <v/>
      </c>
      <c r="C517" s="1" t="str">
        <f>"Bushidokan"</f>
        <v>Bushidokan</v>
      </c>
      <c r="D517" s="1" t="str">
        <f>"QC"</f>
        <v>QC</v>
      </c>
      <c r="E517" s="1" t="str">
        <f>"Quebec"</f>
        <v>Quebec</v>
      </c>
      <c r="F517" s="1" t="str">
        <f>"Genevieve"</f>
        <v>Genevieve</v>
      </c>
      <c r="G517" s="1" t="str">
        <f>"Beriault"</f>
        <v>Beriault</v>
      </c>
      <c r="H517" s="1" t="str">
        <f>"0196330"</f>
        <v>0196330</v>
      </c>
      <c r="I517" s="1" t="str">
        <f t="shared" ref="I517:I531" si="71">"F"</f>
        <v>F</v>
      </c>
      <c r="J517" s="2">
        <v>2005</v>
      </c>
      <c r="K517" s="1" t="str">
        <f>"3k"</f>
        <v>3k</v>
      </c>
      <c r="L517" s="1" t="str">
        <f t="shared" si="70"/>
        <v>U16</v>
      </c>
      <c r="M517" s="1" t="str">
        <f>"-48"</f>
        <v>-48</v>
      </c>
      <c r="N517" s="1" t="str">
        <f>""</f>
        <v/>
      </c>
      <c r="O517" s="1">
        <v>1</v>
      </c>
      <c r="P517" s="1"/>
      <c r="Q517" t="s">
        <v>276</v>
      </c>
    </row>
    <row r="518" spans="1:17" x14ac:dyDescent="0.25">
      <c r="A518" t="str">
        <f>"2018-10-05 22:58:16"</f>
        <v>2018-10-05 22:58:16</v>
      </c>
      <c r="B518" s="1" t="str">
        <f>""</f>
        <v/>
      </c>
      <c r="C518" s="1" t="str">
        <f>"Club de Judo Boucherville inc."</f>
        <v>Club de Judo Boucherville inc.</v>
      </c>
      <c r="D518" s="1" t="str">
        <f>"QC"</f>
        <v>QC</v>
      </c>
      <c r="E518" s="1" t="str">
        <f>"Quebec"</f>
        <v>Quebec</v>
      </c>
      <c r="F518" s="1" t="str">
        <f>"Gabriela"</f>
        <v>Gabriela</v>
      </c>
      <c r="G518" s="1" t="str">
        <f>"Campos-Mendanha"</f>
        <v>Campos-Mendanha</v>
      </c>
      <c r="H518" s="1" t="str">
        <f>"0222207"</f>
        <v>0222207</v>
      </c>
      <c r="I518" s="1" t="str">
        <f t="shared" si="71"/>
        <v>F</v>
      </c>
      <c r="J518" s="2">
        <v>2005</v>
      </c>
      <c r="K518" s="1" t="str">
        <f>"3k"</f>
        <v>3k</v>
      </c>
      <c r="L518" s="1" t="str">
        <f t="shared" si="70"/>
        <v>U16</v>
      </c>
      <c r="M518" s="8">
        <v>-48</v>
      </c>
      <c r="N518" s="1" t="str">
        <f>""</f>
        <v/>
      </c>
      <c r="O518" s="1">
        <v>1</v>
      </c>
      <c r="P518" s="1"/>
      <c r="Q518" t="s">
        <v>276</v>
      </c>
    </row>
    <row r="519" spans="1:17" x14ac:dyDescent="0.25">
      <c r="A519" t="str">
        <f>"2018-10-19 22:09:43"</f>
        <v>2018-10-19 22:09:43</v>
      </c>
      <c r="B519" s="1" t="str">
        <f>""</f>
        <v/>
      </c>
      <c r="C519" s="1" t="str">
        <f>"Club de Judo Boucherville inc."</f>
        <v>Club de Judo Boucherville inc.</v>
      </c>
      <c r="D519" s="1" t="str">
        <f>"QC"</f>
        <v>QC</v>
      </c>
      <c r="E519" s="1" t="str">
        <f>"Quebec"</f>
        <v>Quebec</v>
      </c>
      <c r="F519" s="1" t="str">
        <f>"Ines"</f>
        <v>Ines</v>
      </c>
      <c r="G519" s="1" t="str">
        <f>"Da Costa Correia"</f>
        <v>Da Costa Correia</v>
      </c>
      <c r="H519" s="1" t="str">
        <f>"0214039"</f>
        <v>0214039</v>
      </c>
      <c r="I519" s="1" t="str">
        <f t="shared" si="71"/>
        <v>F</v>
      </c>
      <c r="J519" s="2">
        <v>2005</v>
      </c>
      <c r="K519" s="1" t="str">
        <f>"3k"</f>
        <v>3k</v>
      </c>
      <c r="L519" s="1" t="str">
        <f t="shared" si="70"/>
        <v>U16</v>
      </c>
      <c r="M519" s="1" t="str">
        <f t="shared" ref="M519:M531" si="72">"-48"</f>
        <v>-48</v>
      </c>
      <c r="N519" s="1" t="str">
        <f>""</f>
        <v/>
      </c>
      <c r="O519" s="1">
        <v>1</v>
      </c>
      <c r="P519" s="1"/>
      <c r="Q519" t="s">
        <v>276</v>
      </c>
    </row>
    <row r="520" spans="1:17" x14ac:dyDescent="0.25">
      <c r="A520" t="str">
        <f>"2018-10-01 07:51:10"</f>
        <v>2018-10-01 07:51:10</v>
      </c>
      <c r="B520" s="1" t="str">
        <f>""</f>
        <v/>
      </c>
      <c r="C520" s="1" t="str">
        <f>"Judo Univestri/donini"</f>
        <v>Judo Univestri/donini</v>
      </c>
      <c r="D520" s="1" t="str">
        <f>"QC"</f>
        <v>QC</v>
      </c>
      <c r="E520" s="1" t="str">
        <f>"Quebec"</f>
        <v>Quebec</v>
      </c>
      <c r="F520" s="1" t="str">
        <f>"Malika"</f>
        <v>Malika</v>
      </c>
      <c r="G520" s="1" t="str">
        <f>"Haug"</f>
        <v>Haug</v>
      </c>
      <c r="H520" s="1" t="str">
        <f>"0224371"</f>
        <v>0224371</v>
      </c>
      <c r="I520" s="1" t="str">
        <f t="shared" si="71"/>
        <v>F</v>
      </c>
      <c r="J520" s="2">
        <v>2005</v>
      </c>
      <c r="K520" s="1" t="str">
        <f>"3k"</f>
        <v>3k</v>
      </c>
      <c r="L520" s="1" t="str">
        <f t="shared" si="70"/>
        <v>U16</v>
      </c>
      <c r="M520" s="1" t="str">
        <f t="shared" si="72"/>
        <v>-48</v>
      </c>
      <c r="N520" s="1" t="str">
        <f>""</f>
        <v/>
      </c>
      <c r="O520" s="1">
        <v>1</v>
      </c>
      <c r="P520" s="1"/>
      <c r="Q520" t="s">
        <v>276</v>
      </c>
    </row>
    <row r="521" spans="1:17" x14ac:dyDescent="0.25">
      <c r="A521" t="str">
        <f>"2018-10-19 10:24:37"</f>
        <v>2018-10-19 10:24:37</v>
      </c>
      <c r="B521" s="1" t="str">
        <f>""</f>
        <v/>
      </c>
      <c r="C521" s="1" t="str">
        <f>"Challenge Sports Club"</f>
        <v>Challenge Sports Club</v>
      </c>
      <c r="D521" s="1" t="str">
        <f>"ON"</f>
        <v>ON</v>
      </c>
      <c r="E521" s="1" t="str">
        <f>"Ontario"</f>
        <v>Ontario</v>
      </c>
      <c r="F521" s="1" t="str">
        <f>"Veronica"</f>
        <v>Veronica</v>
      </c>
      <c r="G521" s="1" t="str">
        <f>"Kastulin"</f>
        <v>Kastulin</v>
      </c>
      <c r="H521" s="1" t="str">
        <f>"0196804"</f>
        <v>0196804</v>
      </c>
      <c r="I521" s="1" t="str">
        <f t="shared" si="71"/>
        <v>F</v>
      </c>
      <c r="J521" s="2">
        <v>2004</v>
      </c>
      <c r="K521" s="1" t="str">
        <f>"2k"</f>
        <v>2k</v>
      </c>
      <c r="L521" s="1" t="str">
        <f t="shared" si="70"/>
        <v>U16</v>
      </c>
      <c r="M521" s="1" t="str">
        <f t="shared" si="72"/>
        <v>-48</v>
      </c>
      <c r="N521" s="1" t="str">
        <f>""</f>
        <v/>
      </c>
      <c r="O521" s="1">
        <v>1</v>
      </c>
      <c r="P521" s="1"/>
      <c r="Q521" t="s">
        <v>276</v>
      </c>
    </row>
    <row r="522" spans="1:17" x14ac:dyDescent="0.25">
      <c r="A522" t="str">
        <f>"2018-10-15 12:20:26"</f>
        <v>2018-10-15 12:20:26</v>
      </c>
      <c r="B522" s="1" t="str">
        <f>""</f>
        <v/>
      </c>
      <c r="C522" s="1" t="str">
        <f>"Lethbridge Kyodokan Judo Club"</f>
        <v>Lethbridge Kyodokan Judo Club</v>
      </c>
      <c r="D522" s="1" t="s">
        <v>116</v>
      </c>
      <c r="E522" s="1" t="str">
        <f>"Alberta"</f>
        <v>Alberta</v>
      </c>
      <c r="F522" s="1" t="str">
        <f>"Aliya"</f>
        <v>Aliya</v>
      </c>
      <c r="G522" s="1" t="str">
        <f>"Koliaska"</f>
        <v>Koliaska</v>
      </c>
      <c r="H522" s="1" t="str">
        <f>"0172507"</f>
        <v>0172507</v>
      </c>
      <c r="I522" s="1" t="str">
        <f t="shared" si="71"/>
        <v>F</v>
      </c>
      <c r="J522" s="2">
        <v>2005</v>
      </c>
      <c r="K522" s="1" t="str">
        <f>"3k"</f>
        <v>3k</v>
      </c>
      <c r="L522" s="1" t="str">
        <f t="shared" si="70"/>
        <v>U16</v>
      </c>
      <c r="M522" s="1" t="str">
        <f t="shared" si="72"/>
        <v>-48</v>
      </c>
      <c r="N522" s="1" t="str">
        <f>""</f>
        <v/>
      </c>
      <c r="O522" s="1">
        <v>1</v>
      </c>
      <c r="P522" s="1"/>
      <c r="Q522" t="s">
        <v>276</v>
      </c>
    </row>
    <row r="523" spans="1:17" x14ac:dyDescent="0.25">
      <c r="A523" t="str">
        <f>"2018-10-01 12:16:46"</f>
        <v>2018-10-01 12:16:46</v>
      </c>
      <c r="B523" s="1" t="str">
        <f>""</f>
        <v/>
      </c>
      <c r="C523" s="1" t="str">
        <f>"Shin Bu Kan"</f>
        <v>Shin Bu Kan</v>
      </c>
      <c r="D523" s="1" t="str">
        <f>"ON"</f>
        <v>ON</v>
      </c>
      <c r="E523" s="1" t="str">
        <f>"Ontario"</f>
        <v>Ontario</v>
      </c>
      <c r="F523" s="1" t="str">
        <f>"Michelle"</f>
        <v>Michelle</v>
      </c>
      <c r="G523" s="1" t="str">
        <f>"Lopez"</f>
        <v>Lopez</v>
      </c>
      <c r="H523" s="1" t="str">
        <f>"0226554"</f>
        <v>0226554</v>
      </c>
      <c r="I523" s="1" t="str">
        <f t="shared" si="71"/>
        <v>F</v>
      </c>
      <c r="J523" s="2">
        <v>2005</v>
      </c>
      <c r="K523" s="1" t="str">
        <f>"3k"</f>
        <v>3k</v>
      </c>
      <c r="L523" s="1" t="str">
        <f t="shared" si="70"/>
        <v>U16</v>
      </c>
      <c r="M523" s="1" t="str">
        <f t="shared" si="72"/>
        <v>-48</v>
      </c>
      <c r="N523" s="1" t="str">
        <f>""</f>
        <v/>
      </c>
      <c r="O523" s="1">
        <v>1</v>
      </c>
      <c r="P523" s="1"/>
      <c r="Q523" t="s">
        <v>276</v>
      </c>
    </row>
    <row r="524" spans="1:17" x14ac:dyDescent="0.25">
      <c r="A524" t="str">
        <f>"2018-10-19 10:24:37"</f>
        <v>2018-10-19 10:24:37</v>
      </c>
      <c r="B524" s="1" t="str">
        <f>""</f>
        <v/>
      </c>
      <c r="C524" s="1" t="str">
        <f>"Hiro's Judo Club"</f>
        <v>Hiro's Judo Club</v>
      </c>
      <c r="D524" s="1" t="str">
        <f>"AB"</f>
        <v>AB</v>
      </c>
      <c r="E524" s="1" t="str">
        <f>"Alberta"</f>
        <v>Alberta</v>
      </c>
      <c r="F524" s="1" t="str">
        <f>"Charlize Isabelle"</f>
        <v>Charlize Isabelle</v>
      </c>
      <c r="G524" s="1" t="str">
        <f>"Medilo"</f>
        <v>Medilo</v>
      </c>
      <c r="H524" s="1" t="str">
        <f>"0194521"</f>
        <v>0194521</v>
      </c>
      <c r="I524" s="1" t="str">
        <f t="shared" si="71"/>
        <v>F</v>
      </c>
      <c r="J524" s="2">
        <v>2005</v>
      </c>
      <c r="K524" s="1" t="str">
        <f>"3k"</f>
        <v>3k</v>
      </c>
      <c r="L524" s="1" t="str">
        <f t="shared" si="70"/>
        <v>U16</v>
      </c>
      <c r="M524" s="1" t="str">
        <f t="shared" si="72"/>
        <v>-48</v>
      </c>
      <c r="N524" s="1" t="str">
        <f>""</f>
        <v/>
      </c>
      <c r="O524" s="1">
        <v>1</v>
      </c>
      <c r="P524" s="1"/>
      <c r="Q524" t="s">
        <v>276</v>
      </c>
    </row>
    <row r="525" spans="1:17" x14ac:dyDescent="0.25">
      <c r="A525" t="str">
        <f>"2018-10-14 19:31:55"</f>
        <v>2018-10-14 19:31:55</v>
      </c>
      <c r="B525" s="1" t="str">
        <f>""</f>
        <v/>
      </c>
      <c r="C525" s="1" t="str">
        <f>"Club de judo Métropolitain inc."</f>
        <v>Club de judo Métropolitain inc.</v>
      </c>
      <c r="D525" s="1" t="str">
        <f>"QC"</f>
        <v>QC</v>
      </c>
      <c r="E525" s="1" t="str">
        <f>"Quebec"</f>
        <v>Quebec</v>
      </c>
      <c r="F525" s="1" t="str">
        <f>"Coralie"</f>
        <v>Coralie</v>
      </c>
      <c r="G525" s="1" t="str">
        <f>"Nadeau"</f>
        <v>Nadeau</v>
      </c>
      <c r="H525" s="1" t="str">
        <f>"0197658"</f>
        <v>0197658</v>
      </c>
      <c r="I525" s="1" t="str">
        <f t="shared" si="71"/>
        <v>F</v>
      </c>
      <c r="J525" s="2">
        <v>2005</v>
      </c>
      <c r="K525" s="1" t="str">
        <f>"3k"</f>
        <v>3k</v>
      </c>
      <c r="L525" s="1" t="str">
        <f t="shared" si="70"/>
        <v>U16</v>
      </c>
      <c r="M525" s="1" t="str">
        <f t="shared" si="72"/>
        <v>-48</v>
      </c>
      <c r="N525" s="1" t="str">
        <f>""</f>
        <v/>
      </c>
      <c r="O525" s="1">
        <v>1</v>
      </c>
      <c r="P525" s="1"/>
      <c r="Q525" t="s">
        <v>276</v>
      </c>
    </row>
    <row r="526" spans="1:17" x14ac:dyDescent="0.25">
      <c r="A526" t="str">
        <f>"2018-10-14 19:31:55"</f>
        <v>2018-10-14 19:31:55</v>
      </c>
      <c r="B526" s="1" t="str">
        <f>""</f>
        <v/>
      </c>
      <c r="C526" s="1" t="str">
        <f>"Club de judo Métropolitain inc."</f>
        <v>Club de judo Métropolitain inc.</v>
      </c>
      <c r="D526" s="1" t="str">
        <f>"QC"</f>
        <v>QC</v>
      </c>
      <c r="E526" s="1" t="str">
        <f>"Quebec"</f>
        <v>Quebec</v>
      </c>
      <c r="F526" s="1" t="str">
        <f>"Heidi"</f>
        <v>Heidi</v>
      </c>
      <c r="G526" s="1" t="str">
        <f>"Quach"</f>
        <v>Quach</v>
      </c>
      <c r="H526" s="1" t="str">
        <f>"0233415"</f>
        <v>0233415</v>
      </c>
      <c r="I526" s="1" t="str">
        <f t="shared" si="71"/>
        <v>F</v>
      </c>
      <c r="J526" s="2">
        <v>2004</v>
      </c>
      <c r="K526" s="1" t="str">
        <f>"3k"</f>
        <v>3k</v>
      </c>
      <c r="L526" s="1" t="str">
        <f t="shared" si="70"/>
        <v>U16</v>
      </c>
      <c r="M526" s="1" t="str">
        <f t="shared" si="72"/>
        <v>-48</v>
      </c>
      <c r="N526" s="1" t="str">
        <f>""</f>
        <v/>
      </c>
      <c r="O526" s="1">
        <v>1</v>
      </c>
      <c r="P526" s="1"/>
      <c r="Q526" t="s">
        <v>276</v>
      </c>
    </row>
    <row r="527" spans="1:17" x14ac:dyDescent="0.25">
      <c r="A527" t="str">
        <f>"2018-10-10 12:33:31"</f>
        <v>2018-10-10 12:33:31</v>
      </c>
      <c r="B527" s="1" t="str">
        <f>""</f>
        <v/>
      </c>
      <c r="C527" s="1" t="str">
        <f>"Judo Otoshi Dieppe"</f>
        <v>Judo Otoshi Dieppe</v>
      </c>
      <c r="D527" s="1" t="str">
        <f>"NB"</f>
        <v>NB</v>
      </c>
      <c r="E527" s="1" t="str">
        <f>"New Brunswick"</f>
        <v>New Brunswick</v>
      </c>
      <c r="F527" s="1" t="str">
        <f>"Mahee"</f>
        <v>Mahee</v>
      </c>
      <c r="G527" s="1" t="str">
        <f>"Savoie"</f>
        <v>Savoie</v>
      </c>
      <c r="H527" s="1" t="str">
        <f>"0201135"</f>
        <v>0201135</v>
      </c>
      <c r="I527" s="1" t="str">
        <f t="shared" si="71"/>
        <v>F</v>
      </c>
      <c r="J527" s="2">
        <v>2005</v>
      </c>
      <c r="K527" s="1" t="str">
        <f>"2k"</f>
        <v>2k</v>
      </c>
      <c r="L527" s="1" t="str">
        <f t="shared" si="70"/>
        <v>U16</v>
      </c>
      <c r="M527" s="1" t="str">
        <f t="shared" si="72"/>
        <v>-48</v>
      </c>
      <c r="N527" s="1" t="str">
        <f>""</f>
        <v/>
      </c>
      <c r="O527" s="1">
        <v>2</v>
      </c>
      <c r="P527" s="1"/>
      <c r="Q527" t="s">
        <v>276</v>
      </c>
    </row>
    <row r="528" spans="1:17" x14ac:dyDescent="0.25">
      <c r="A528" t="str">
        <f>"2018-10-16 16:00:17"</f>
        <v>2018-10-16 16:00:17</v>
      </c>
      <c r="B528" s="1" t="str">
        <f>""</f>
        <v/>
      </c>
      <c r="C528" s="1" t="str">
        <f>"Campbell River Judo Club"</f>
        <v>Campbell River Judo Club</v>
      </c>
      <c r="D528" s="1" t="str">
        <f>"BC"</f>
        <v>BC</v>
      </c>
      <c r="E528" s="1" t="str">
        <f>"British Columbia"</f>
        <v>British Columbia</v>
      </c>
      <c r="F528" s="1" t="str">
        <f>"Olivia"</f>
        <v>Olivia</v>
      </c>
      <c r="G528" s="1" t="str">
        <f>"Sheehan"</f>
        <v>Sheehan</v>
      </c>
      <c r="H528" s="1" t="str">
        <f>"0203324"</f>
        <v>0203324</v>
      </c>
      <c r="I528" s="1" t="str">
        <f t="shared" si="71"/>
        <v>F</v>
      </c>
      <c r="J528" s="2">
        <v>2004</v>
      </c>
      <c r="K528" s="1" t="str">
        <f>"2k"</f>
        <v>2k</v>
      </c>
      <c r="L528" s="1" t="s">
        <v>111</v>
      </c>
      <c r="M528" s="1" t="str">
        <f t="shared" si="72"/>
        <v>-48</v>
      </c>
      <c r="N528" s="1" t="str">
        <f>""</f>
        <v/>
      </c>
      <c r="O528" s="1">
        <v>2</v>
      </c>
      <c r="P528" s="1"/>
      <c r="Q528" t="s">
        <v>276</v>
      </c>
    </row>
    <row r="529" spans="1:17" x14ac:dyDescent="0.25">
      <c r="A529" t="str">
        <f>"2018-10-15 12:20:26"</f>
        <v>2018-10-15 12:20:26</v>
      </c>
      <c r="B529" s="1" t="str">
        <f>""</f>
        <v/>
      </c>
      <c r="C529" s="1" t="str">
        <f>"Shin Bu Kan Judo"</f>
        <v>Shin Bu Kan Judo</v>
      </c>
      <c r="D529" s="1" t="str">
        <f>"BC"</f>
        <v>BC</v>
      </c>
      <c r="E529" s="1" t="str">
        <f>"Ontario"</f>
        <v>Ontario</v>
      </c>
      <c r="F529" s="1" t="str">
        <f>"Alyssa"</f>
        <v>Alyssa</v>
      </c>
      <c r="G529" s="1" t="str">
        <f>"Shimabukuro"</f>
        <v>Shimabukuro</v>
      </c>
      <c r="H529" s="1" t="str">
        <f>"0177534"</f>
        <v>0177534</v>
      </c>
      <c r="I529" s="1" t="str">
        <f t="shared" si="71"/>
        <v>F</v>
      </c>
      <c r="J529" s="2">
        <v>2005</v>
      </c>
      <c r="K529" s="1" t="str">
        <f>"3k"</f>
        <v>3k</v>
      </c>
      <c r="L529" s="1" t="str">
        <f>"U16"</f>
        <v>U16</v>
      </c>
      <c r="M529" s="1" t="str">
        <f t="shared" si="72"/>
        <v>-48</v>
      </c>
      <c r="N529" s="1" t="str">
        <f>""</f>
        <v/>
      </c>
      <c r="O529" s="1">
        <v>1</v>
      </c>
      <c r="P529" s="1"/>
      <c r="Q529" t="s">
        <v>276</v>
      </c>
    </row>
    <row r="530" spans="1:17" x14ac:dyDescent="0.25">
      <c r="A530" t="str">
        <f>"2018-10-19 10:00:48"</f>
        <v>2018-10-19 10:00:48</v>
      </c>
      <c r="B530" s="1" t="str">
        <f>""</f>
        <v/>
      </c>
      <c r="C530" s="1" t="str">
        <f>"Club de judo Seiko"</f>
        <v>Club de judo Seiko</v>
      </c>
      <c r="D530" s="1" t="str">
        <f>"QC"</f>
        <v>QC</v>
      </c>
      <c r="E530" s="1" t="str">
        <f>"Quebec"</f>
        <v>Quebec</v>
      </c>
      <c r="F530" s="1" t="str">
        <f>"Mathilde"</f>
        <v>Mathilde</v>
      </c>
      <c r="G530" s="1" t="str">
        <f>"Simard-Lejuene"</f>
        <v>Simard-Lejuene</v>
      </c>
      <c r="H530" s="1" t="str">
        <f>"0200069"</f>
        <v>0200069</v>
      </c>
      <c r="I530" s="1" t="str">
        <f t="shared" si="71"/>
        <v>F</v>
      </c>
      <c r="J530" s="2">
        <v>2004</v>
      </c>
      <c r="K530" s="1" t="str">
        <f>"2k"</f>
        <v>2k</v>
      </c>
      <c r="L530" s="1" t="s">
        <v>111</v>
      </c>
      <c r="M530" s="1" t="str">
        <f t="shared" si="72"/>
        <v>-48</v>
      </c>
      <c r="N530" s="1" t="str">
        <f>""</f>
        <v/>
      </c>
      <c r="O530" s="1">
        <v>2</v>
      </c>
      <c r="P530" s="1"/>
      <c r="Q530" t="s">
        <v>276</v>
      </c>
    </row>
    <row r="531" spans="1:17" x14ac:dyDescent="0.25">
      <c r="A531" t="str">
        <f>"2018-10-25 11:45:05"</f>
        <v>2018-10-25 11:45:05</v>
      </c>
      <c r="B531" s="1" t="str">
        <f>""</f>
        <v/>
      </c>
      <c r="C531" s="1" t="str">
        <f>"Club de Judo Boucherville inc."</f>
        <v>Club de Judo Boucherville inc.</v>
      </c>
      <c r="D531" s="1" t="str">
        <f>"QC"</f>
        <v>QC</v>
      </c>
      <c r="E531" s="1" t="str">
        <f>"Quebec"</f>
        <v>Quebec</v>
      </c>
      <c r="F531" s="1" t="str">
        <f>"Catherine"</f>
        <v>Catherine</v>
      </c>
      <c r="G531" s="1" t="str">
        <f>"Toshkov"</f>
        <v>Toshkov</v>
      </c>
      <c r="H531" s="1" t="str">
        <f>"0194068"</f>
        <v>0194068</v>
      </c>
      <c r="I531" s="1" t="str">
        <f t="shared" si="71"/>
        <v>F</v>
      </c>
      <c r="J531" s="2">
        <v>2005</v>
      </c>
      <c r="K531" s="1" t="str">
        <f>"3k+"</f>
        <v>3k+</v>
      </c>
      <c r="L531" s="1" t="str">
        <f>"U16"</f>
        <v>U16</v>
      </c>
      <c r="M531" s="1" t="str">
        <f t="shared" si="72"/>
        <v>-48</v>
      </c>
      <c r="N531" s="1" t="str">
        <f>""</f>
        <v/>
      </c>
      <c r="O531" s="1">
        <v>1</v>
      </c>
      <c r="P531" s="1"/>
      <c r="Q531" t="s">
        <v>276</v>
      </c>
    </row>
    <row r="532" spans="1:17" x14ac:dyDescent="0.25">
      <c r="A532" t="str">
        <f>"2018-10-19 21:51:54"</f>
        <v>2018-10-19 21:51:54</v>
      </c>
      <c r="B532" s="1" t="str">
        <f>""</f>
        <v/>
      </c>
      <c r="C532" s="1" t="str">
        <f>"Club de judo Métropolitain inc."</f>
        <v>Club de judo Métropolitain inc.</v>
      </c>
      <c r="D532" s="1" t="str">
        <f>"QC"</f>
        <v>QC</v>
      </c>
      <c r="E532" s="1" t="str">
        <f>"Quebec"</f>
        <v>Quebec</v>
      </c>
      <c r="F532" s="1" t="str">
        <f>"Norbert Peter"</f>
        <v>Norbert Peter</v>
      </c>
      <c r="G532" s="1" t="str">
        <f>"Andras"</f>
        <v>Andras</v>
      </c>
      <c r="H532" s="1" t="str">
        <f>"0223679"</f>
        <v>0223679</v>
      </c>
      <c r="I532" s="1" t="str">
        <f t="shared" ref="I532:I562" si="73">"M"</f>
        <v>M</v>
      </c>
      <c r="J532" s="2">
        <v>2004</v>
      </c>
      <c r="K532" s="1" t="str">
        <f>"1k"</f>
        <v>1k</v>
      </c>
      <c r="L532" s="1" t="s">
        <v>111</v>
      </c>
      <c r="M532" s="1" t="str">
        <f t="shared" ref="M532:M562" si="74">"-50"</f>
        <v>-50</v>
      </c>
      <c r="N532" s="1" t="str">
        <f>""</f>
        <v/>
      </c>
      <c r="O532" s="1">
        <v>2</v>
      </c>
      <c r="P532" s="1"/>
      <c r="Q532" t="s">
        <v>277</v>
      </c>
    </row>
    <row r="533" spans="1:17" x14ac:dyDescent="0.25">
      <c r="A533" t="str">
        <f>"2018-10-15 20:15:50"</f>
        <v>2018-10-15 20:15:50</v>
      </c>
      <c r="B533" s="1" t="str">
        <f>""</f>
        <v/>
      </c>
      <c r="C533" s="1" t="str">
        <f>"Académie de Judo de Sept-Iles Inc."</f>
        <v>Académie de Judo de Sept-Iles Inc.</v>
      </c>
      <c r="D533" s="1" t="str">
        <f>"QC"</f>
        <v>QC</v>
      </c>
      <c r="E533" s="1" t="str">
        <f>"Quebec"</f>
        <v>Quebec</v>
      </c>
      <c r="F533" s="1" t="str">
        <f>"Nicolas"</f>
        <v>Nicolas</v>
      </c>
      <c r="G533" s="1" t="str">
        <f>"Arseneault"</f>
        <v>Arseneault</v>
      </c>
      <c r="H533" s="1" t="str">
        <f>"0174362"</f>
        <v>0174362</v>
      </c>
      <c r="I533" s="1" t="str">
        <f t="shared" si="73"/>
        <v>M</v>
      </c>
      <c r="J533" s="2">
        <v>2005</v>
      </c>
      <c r="K533" s="1" t="str">
        <f>"2k"</f>
        <v>2k</v>
      </c>
      <c r="L533" s="1" t="str">
        <f>"U16"</f>
        <v>U16</v>
      </c>
      <c r="M533" s="1" t="str">
        <f t="shared" si="74"/>
        <v>-50</v>
      </c>
      <c r="N533" s="1" t="str">
        <f>""</f>
        <v/>
      </c>
      <c r="O533" s="1">
        <v>1</v>
      </c>
      <c r="P533" s="1"/>
      <c r="Q533" t="s">
        <v>277</v>
      </c>
    </row>
    <row r="534" spans="1:17" x14ac:dyDescent="0.25">
      <c r="A534" t="str">
        <f>"2018-10-17 21:22:36"</f>
        <v>2018-10-17 21:22:36</v>
      </c>
      <c r="B534" s="1" t="str">
        <f>""</f>
        <v/>
      </c>
      <c r="C534" s="1" t="str">
        <f>"Mile Zero Judo Club"</f>
        <v>Mile Zero Judo Club</v>
      </c>
      <c r="D534" s="1" t="str">
        <f>"BC"</f>
        <v>BC</v>
      </c>
      <c r="E534" s="1" t="str">
        <f>"British Columbia"</f>
        <v>British Columbia</v>
      </c>
      <c r="F534" s="1" t="str">
        <f>"Seve"</f>
        <v>Seve</v>
      </c>
      <c r="G534" s="1" t="str">
        <f>"Avey"</f>
        <v>Avey</v>
      </c>
      <c r="H534" s="1" t="str">
        <f>"0213000"</f>
        <v>0213000</v>
      </c>
      <c r="I534" s="1" t="str">
        <f t="shared" si="73"/>
        <v>M</v>
      </c>
      <c r="J534" s="2">
        <v>2005</v>
      </c>
      <c r="K534" s="1" t="str">
        <f>"3k"</f>
        <v>3k</v>
      </c>
      <c r="L534" s="1" t="str">
        <f>"U16"</f>
        <v>U16</v>
      </c>
      <c r="M534" s="1" t="str">
        <f t="shared" si="74"/>
        <v>-50</v>
      </c>
      <c r="N534" s="1" t="str">
        <f>""</f>
        <v/>
      </c>
      <c r="O534" s="1">
        <v>1</v>
      </c>
      <c r="P534" s="1"/>
      <c r="Q534" t="s">
        <v>277</v>
      </c>
    </row>
    <row r="535" spans="1:17" x14ac:dyDescent="0.25">
      <c r="A535" t="str">
        <f>"2018-10-15 20:15:50"</f>
        <v>2018-10-15 20:15:50</v>
      </c>
      <c r="B535" s="1" t="str">
        <f>""</f>
        <v/>
      </c>
      <c r="C535" s="1" t="str">
        <f>"Judo Otoshi Dieppe"</f>
        <v>Judo Otoshi Dieppe</v>
      </c>
      <c r="D535" s="1" t="str">
        <f>"NB"</f>
        <v>NB</v>
      </c>
      <c r="E535" s="1" t="str">
        <f>"New Brunswick"</f>
        <v>New Brunswick</v>
      </c>
      <c r="F535" s="1" t="str">
        <f>"Noah"</f>
        <v>Noah</v>
      </c>
      <c r="G535" s="1" t="str">
        <f>"Beausoleil"</f>
        <v>Beausoleil</v>
      </c>
      <c r="H535" s="1" t="str">
        <f>"0195679"</f>
        <v>0195679</v>
      </c>
      <c r="I535" s="1" t="str">
        <f t="shared" si="73"/>
        <v>M</v>
      </c>
      <c r="J535" s="2">
        <v>2005</v>
      </c>
      <c r="K535" s="1" t="str">
        <f>"2k"</f>
        <v>2k</v>
      </c>
      <c r="L535" s="1" t="str">
        <f>"U16"</f>
        <v>U16</v>
      </c>
      <c r="M535" s="1" t="str">
        <f t="shared" si="74"/>
        <v>-50</v>
      </c>
      <c r="N535" s="1" t="str">
        <f>""</f>
        <v/>
      </c>
      <c r="O535" s="1">
        <v>1</v>
      </c>
      <c r="P535" s="1"/>
      <c r="Q535" t="s">
        <v>277</v>
      </c>
    </row>
    <row r="536" spans="1:17" x14ac:dyDescent="0.25">
      <c r="A536" t="str">
        <f>"2018-10-17 19:52:59"</f>
        <v>2018-10-17 19:52:59</v>
      </c>
      <c r="B536" s="1" t="str">
        <f>""</f>
        <v/>
      </c>
      <c r="C536" s="1" t="str">
        <f>"AJAX Budokan"</f>
        <v>AJAX Budokan</v>
      </c>
      <c r="D536" s="1" t="str">
        <f>"ON"</f>
        <v>ON</v>
      </c>
      <c r="E536" s="1" t="str">
        <f>"Ontario"</f>
        <v>Ontario</v>
      </c>
      <c r="F536" s="1" t="str">
        <f>"Manuele"</f>
        <v>Manuele</v>
      </c>
      <c r="G536" s="1" t="str">
        <f>"Fantozzi"</f>
        <v>Fantozzi</v>
      </c>
      <c r="H536" s="1" t="str">
        <f>"0205648"</f>
        <v>0205648</v>
      </c>
      <c r="I536" s="1" t="str">
        <f t="shared" si="73"/>
        <v>M</v>
      </c>
      <c r="J536" s="2">
        <v>2004</v>
      </c>
      <c r="K536" s="1" t="str">
        <f>"2k"</f>
        <v>2k</v>
      </c>
      <c r="L536" s="1" t="str">
        <f>"U16"</f>
        <v>U16</v>
      </c>
      <c r="M536" s="1" t="str">
        <f t="shared" si="74"/>
        <v>-50</v>
      </c>
      <c r="N536" s="1" t="str">
        <f>""</f>
        <v/>
      </c>
      <c r="O536" s="1">
        <v>1</v>
      </c>
      <c r="P536" s="1"/>
      <c r="Q536" t="s">
        <v>277</v>
      </c>
    </row>
    <row r="537" spans="1:17" x14ac:dyDescent="0.25">
      <c r="A537" t="str">
        <f>"2018-10-24 22:21:07"</f>
        <v>2018-10-24 22:21:07</v>
      </c>
      <c r="B537" s="1" t="str">
        <f>""</f>
        <v/>
      </c>
      <c r="C537" s="1" t="str">
        <f>"Kokushikai Judo"</f>
        <v>Kokushikai Judo</v>
      </c>
      <c r="D537" s="1" t="str">
        <f>"BC"</f>
        <v>BC</v>
      </c>
      <c r="E537" s="1" t="str">
        <f>"British Columbia"</f>
        <v>British Columbia</v>
      </c>
      <c r="F537" s="1" t="str">
        <f>"Eli"</f>
        <v>Eli</v>
      </c>
      <c r="G537" s="1" t="str">
        <f>"Grant"</f>
        <v>Grant</v>
      </c>
      <c r="H537" s="1" t="str">
        <f>"0171725"</f>
        <v>0171725</v>
      </c>
      <c r="I537" s="1" t="str">
        <f t="shared" si="73"/>
        <v>M</v>
      </c>
      <c r="J537" s="2">
        <v>2004</v>
      </c>
      <c r="K537" s="1" t="str">
        <f>"2k"</f>
        <v>2k</v>
      </c>
      <c r="L537" s="1" t="s">
        <v>111</v>
      </c>
      <c r="M537" s="1" t="str">
        <f t="shared" si="74"/>
        <v>-50</v>
      </c>
      <c r="N537" s="1" t="str">
        <f>""</f>
        <v/>
      </c>
      <c r="O537" s="1">
        <v>2</v>
      </c>
      <c r="P537" s="1"/>
      <c r="Q537" t="s">
        <v>277</v>
      </c>
    </row>
    <row r="538" spans="1:17" x14ac:dyDescent="0.25">
      <c r="A538" t="str">
        <f>"2018-10-20 21:45:11"</f>
        <v>2018-10-20 21:45:11</v>
      </c>
      <c r="B538" s="1" t="str">
        <f>""</f>
        <v/>
      </c>
      <c r="C538" s="1" t="str">
        <f>"Dojo Perrot Shima"</f>
        <v>Dojo Perrot Shima</v>
      </c>
      <c r="D538" s="1" t="str">
        <f>"QC"</f>
        <v>QC</v>
      </c>
      <c r="E538" s="1" t="str">
        <f>"Quebec"</f>
        <v>Quebec</v>
      </c>
      <c r="F538" s="1" t="str">
        <f>"Daniel"</f>
        <v>Daniel</v>
      </c>
      <c r="G538" s="1" t="str">
        <f>"Hristov"</f>
        <v>Hristov</v>
      </c>
      <c r="H538" s="1" t="str">
        <f>"0184799"</f>
        <v>0184799</v>
      </c>
      <c r="I538" s="1" t="str">
        <f t="shared" si="73"/>
        <v>M</v>
      </c>
      <c r="J538" s="2">
        <v>2004</v>
      </c>
      <c r="K538" s="1" t="str">
        <f>"1k"</f>
        <v>1k</v>
      </c>
      <c r="L538" s="1" t="str">
        <f>"U16"</f>
        <v>U16</v>
      </c>
      <c r="M538" s="1" t="str">
        <f t="shared" si="74"/>
        <v>-50</v>
      </c>
      <c r="N538" s="1" t="str">
        <f>""</f>
        <v/>
      </c>
      <c r="O538" s="1">
        <v>1</v>
      </c>
      <c r="P538" s="1"/>
      <c r="Q538" t="s">
        <v>277</v>
      </c>
    </row>
    <row r="539" spans="1:17" x14ac:dyDescent="0.25">
      <c r="B539" s="1" t="str">
        <f>""</f>
        <v/>
      </c>
      <c r="C539" s="1" t="str">
        <f>"Tsunami Martial Arts Club"</f>
        <v>Tsunami Martial Arts Club</v>
      </c>
      <c r="D539" s="1" t="str">
        <f>"ON"</f>
        <v>ON</v>
      </c>
      <c r="E539" s="1" t="str">
        <f>"999999"</f>
        <v>999999</v>
      </c>
      <c r="F539" s="1" t="str">
        <f>"Maxim"</f>
        <v>Maxim</v>
      </c>
      <c r="G539" s="1" t="str">
        <f>"Ivanov"</f>
        <v>Ivanov</v>
      </c>
      <c r="H539" s="1" t="str">
        <f>"0161185"</f>
        <v>0161185</v>
      </c>
      <c r="I539" s="1" t="str">
        <f t="shared" si="73"/>
        <v>M</v>
      </c>
      <c r="J539" s="1">
        <v>2005</v>
      </c>
      <c r="K539" s="1" t="s">
        <v>73</v>
      </c>
      <c r="L539" s="1" t="str">
        <f>"U16"</f>
        <v>U16</v>
      </c>
      <c r="M539" s="1" t="str">
        <f t="shared" si="74"/>
        <v>-50</v>
      </c>
      <c r="N539" s="1" t="str">
        <f>""</f>
        <v/>
      </c>
      <c r="O539" s="1"/>
      <c r="P539" s="1"/>
      <c r="Q539" t="s">
        <v>277</v>
      </c>
    </row>
    <row r="540" spans="1:17" x14ac:dyDescent="0.25">
      <c r="A540" t="str">
        <f>"2018-10-18 21:17:02"</f>
        <v>2018-10-18 21:17:02</v>
      </c>
      <c r="B540" s="1" t="str">
        <f>""</f>
        <v/>
      </c>
      <c r="C540" s="1" t="str">
        <f>"Judo Blainville"</f>
        <v>Judo Blainville</v>
      </c>
      <c r="D540" s="1" t="str">
        <f>"QC"</f>
        <v>QC</v>
      </c>
      <c r="E540" s="1" t="str">
        <f>"Quebec"</f>
        <v>Quebec</v>
      </c>
      <c r="F540" s="1" t="str">
        <f>"Alexis"</f>
        <v>Alexis</v>
      </c>
      <c r="G540" s="1" t="str">
        <f>"Kearney"</f>
        <v>Kearney</v>
      </c>
      <c r="H540" s="1" t="str">
        <f>"0175267"</f>
        <v>0175267</v>
      </c>
      <c r="I540" s="1" t="str">
        <f t="shared" si="73"/>
        <v>M</v>
      </c>
      <c r="J540" s="2">
        <v>2005</v>
      </c>
      <c r="K540" s="1" t="str">
        <f>"2k"</f>
        <v>2k</v>
      </c>
      <c r="L540" s="1" t="str">
        <f>"U16"</f>
        <v>U16</v>
      </c>
      <c r="M540" s="1" t="str">
        <f t="shared" si="74"/>
        <v>-50</v>
      </c>
      <c r="N540" s="1" t="str">
        <f>""</f>
        <v/>
      </c>
      <c r="O540" s="1">
        <v>1</v>
      </c>
      <c r="P540" s="1"/>
      <c r="Q540" t="s">
        <v>277</v>
      </c>
    </row>
    <row r="541" spans="1:17" x14ac:dyDescent="0.25">
      <c r="B541" s="1" t="str">
        <f>""</f>
        <v/>
      </c>
      <c r="C541" s="1" t="str">
        <f>"Yawara Force Judo"</f>
        <v>Yawara Force Judo</v>
      </c>
      <c r="D541" s="1" t="s">
        <v>106</v>
      </c>
      <c r="E541" s="1" t="s">
        <v>106</v>
      </c>
      <c r="F541" s="1" t="str">
        <f>"Artur"</f>
        <v>Artur</v>
      </c>
      <c r="G541" s="1" t="str">
        <f>"Khatipov"</f>
        <v>Khatipov</v>
      </c>
      <c r="H541" s="1" t="str">
        <f>"AutreFederation"</f>
        <v>AutreFederation</v>
      </c>
      <c r="I541" s="1" t="str">
        <f t="shared" si="73"/>
        <v>M</v>
      </c>
      <c r="J541" s="1">
        <v>2005</v>
      </c>
      <c r="K541" s="1" t="s">
        <v>73</v>
      </c>
      <c r="L541" s="1" t="str">
        <f>"U16"</f>
        <v>U16</v>
      </c>
      <c r="M541" s="1" t="str">
        <f t="shared" si="74"/>
        <v>-50</v>
      </c>
      <c r="N541" s="1"/>
      <c r="O541" s="1">
        <v>1</v>
      </c>
      <c r="P541" s="1"/>
      <c r="Q541" t="s">
        <v>277</v>
      </c>
    </row>
    <row r="542" spans="1:17" x14ac:dyDescent="0.25">
      <c r="B542" s="1" t="str">
        <f>"2018-10-23 10:42:25"</f>
        <v>2018-10-23 10:42:25</v>
      </c>
      <c r="C542" s="1" t="str">
        <f>"Valley Judo Institute"</f>
        <v>Valley Judo Institute</v>
      </c>
      <c r="D542" s="1" t="s">
        <v>106</v>
      </c>
      <c r="E542" s="1" t="str">
        <f>"California"</f>
        <v>California</v>
      </c>
      <c r="F542" s="1" t="str">
        <f>"Aleksandar"</f>
        <v>Aleksandar</v>
      </c>
      <c r="G542" s="1" t="str">
        <f>"Khchirian"</f>
        <v>Khchirian</v>
      </c>
      <c r="H542" s="1" t="str">
        <f>"AutreFederation"</f>
        <v>AutreFederation</v>
      </c>
      <c r="I542" s="1" t="str">
        <f t="shared" si="73"/>
        <v>M</v>
      </c>
      <c r="J542" s="2">
        <v>2006</v>
      </c>
      <c r="K542" s="1" t="str">
        <f>"2k"</f>
        <v>2k</v>
      </c>
      <c r="L542" s="1" t="s">
        <v>111</v>
      </c>
      <c r="M542" s="1" t="str">
        <f t="shared" si="74"/>
        <v>-50</v>
      </c>
      <c r="N542" s="1" t="str">
        <f>""</f>
        <v/>
      </c>
      <c r="O542" s="10">
        <v>2</v>
      </c>
      <c r="P542" s="1" t="s">
        <v>271</v>
      </c>
      <c r="Q542" t="s">
        <v>277</v>
      </c>
    </row>
    <row r="543" spans="1:17" x14ac:dyDescent="0.25">
      <c r="B543" s="1" t="str">
        <f>""</f>
        <v/>
      </c>
      <c r="C543" s="1" t="str">
        <f>"Olympic Judo Centre"</f>
        <v>Olympic Judo Centre</v>
      </c>
      <c r="D543" s="1" t="str">
        <f>"ON"</f>
        <v>ON</v>
      </c>
      <c r="E543" s="1" t="str">
        <f>"Ontario"</f>
        <v>Ontario</v>
      </c>
      <c r="F543" s="1" t="str">
        <f>"David"</f>
        <v>David</v>
      </c>
      <c r="G543" s="1" t="str">
        <f>"Kotenko"</f>
        <v>Kotenko</v>
      </c>
      <c r="H543" s="1" t="str">
        <f>"0220334"</f>
        <v>0220334</v>
      </c>
      <c r="I543" s="1" t="str">
        <f t="shared" si="73"/>
        <v>M</v>
      </c>
      <c r="J543" s="1">
        <v>2005</v>
      </c>
      <c r="K543" s="1" t="s">
        <v>73</v>
      </c>
      <c r="L543" s="1" t="str">
        <f t="shared" ref="L543:L549" si="75">"U16"</f>
        <v>U16</v>
      </c>
      <c r="M543" s="1" t="str">
        <f t="shared" si="74"/>
        <v>-50</v>
      </c>
      <c r="N543" s="1" t="str">
        <f>""</f>
        <v/>
      </c>
      <c r="O543" s="1"/>
      <c r="P543" s="1"/>
      <c r="Q543" t="s">
        <v>277</v>
      </c>
    </row>
    <row r="544" spans="1:17" x14ac:dyDescent="0.25">
      <c r="A544" t="str">
        <f>"2018-10-25 17:41:07"</f>
        <v>2018-10-25 17:41:07</v>
      </c>
      <c r="B544" s="1" t="str">
        <f>""</f>
        <v/>
      </c>
      <c r="C544" s="1" t="str">
        <f>"York Judo Club"</f>
        <v>York Judo Club</v>
      </c>
      <c r="D544" s="1" t="str">
        <f>"ON"</f>
        <v>ON</v>
      </c>
      <c r="E544" s="1" t="str">
        <f>"Ontario"</f>
        <v>Ontario</v>
      </c>
      <c r="F544" s="1" t="str">
        <f>"Connor"</f>
        <v>Connor</v>
      </c>
      <c r="G544" s="1" t="str">
        <f>"Lau"</f>
        <v>Lau</v>
      </c>
      <c r="H544" s="1" t="str">
        <f>"0172986"</f>
        <v>0172986</v>
      </c>
      <c r="I544" s="1" t="str">
        <f t="shared" si="73"/>
        <v>M</v>
      </c>
      <c r="J544" s="2">
        <v>2005</v>
      </c>
      <c r="K544" s="1" t="str">
        <f>"3k"</f>
        <v>3k</v>
      </c>
      <c r="L544" s="1" t="str">
        <f t="shared" si="75"/>
        <v>U16</v>
      </c>
      <c r="M544" s="1" t="str">
        <f t="shared" si="74"/>
        <v>-50</v>
      </c>
      <c r="N544" s="1" t="str">
        <f>""</f>
        <v/>
      </c>
      <c r="O544" s="1">
        <v>2</v>
      </c>
      <c r="P544" s="1"/>
      <c r="Q544" t="s">
        <v>277</v>
      </c>
    </row>
    <row r="545" spans="1:17" x14ac:dyDescent="0.25">
      <c r="A545" t="str">
        <f>"2018-10-25 17:41:07"</f>
        <v>2018-10-25 17:41:07</v>
      </c>
      <c r="B545" s="1" t="str">
        <f>""</f>
        <v/>
      </c>
      <c r="C545" s="1" t="str">
        <f>"Club de judo Rikidokan inc."</f>
        <v>Club de judo Rikidokan inc.</v>
      </c>
      <c r="D545" s="1" t="str">
        <f>"QC"</f>
        <v>QC</v>
      </c>
      <c r="E545" s="1" t="str">
        <f>"Quebec"</f>
        <v>Quebec</v>
      </c>
      <c r="F545" s="1" t="str">
        <f>"Alexi"</f>
        <v>Alexi</v>
      </c>
      <c r="G545" s="1" t="str">
        <f>"Levesque"</f>
        <v>Levesque</v>
      </c>
      <c r="H545" s="1" t="str">
        <f>"0179889"</f>
        <v>0179889</v>
      </c>
      <c r="I545" s="1" t="str">
        <f t="shared" si="73"/>
        <v>M</v>
      </c>
      <c r="J545" s="2">
        <v>2004</v>
      </c>
      <c r="K545" s="1" t="str">
        <f>"1k"</f>
        <v>1k</v>
      </c>
      <c r="L545" s="1" t="str">
        <f t="shared" si="75"/>
        <v>U16</v>
      </c>
      <c r="M545" s="1" t="str">
        <f t="shared" si="74"/>
        <v>-50</v>
      </c>
      <c r="N545" s="1" t="str">
        <f>""</f>
        <v/>
      </c>
      <c r="O545" s="1">
        <v>1</v>
      </c>
      <c r="P545" s="1"/>
      <c r="Q545" t="s">
        <v>277</v>
      </c>
    </row>
    <row r="546" spans="1:17" x14ac:dyDescent="0.25">
      <c r="A546" t="str">
        <f>"2018-10-25 17:11:27"</f>
        <v>2018-10-25 17:11:27</v>
      </c>
      <c r="B546" s="1" t="str">
        <f>""</f>
        <v/>
      </c>
      <c r="C546" s="1" t="str">
        <f>"Dojo Perrot Shima"</f>
        <v>Dojo Perrot Shima</v>
      </c>
      <c r="D546" s="1" t="str">
        <f>"QC"</f>
        <v>QC</v>
      </c>
      <c r="E546" s="1" t="str">
        <f>"Quebec"</f>
        <v>Quebec</v>
      </c>
      <c r="F546" s="1" t="str">
        <f>"Shane"</f>
        <v>Shane</v>
      </c>
      <c r="G546" s="1" t="str">
        <f>"Lewis"</f>
        <v>Lewis</v>
      </c>
      <c r="H546" s="1" t="str">
        <f>"0193668"</f>
        <v>0193668</v>
      </c>
      <c r="I546" s="1" t="str">
        <f t="shared" si="73"/>
        <v>M</v>
      </c>
      <c r="J546" s="2">
        <v>2004</v>
      </c>
      <c r="K546" s="1" t="str">
        <f>"1k"</f>
        <v>1k</v>
      </c>
      <c r="L546" s="1" t="str">
        <f t="shared" si="75"/>
        <v>U16</v>
      </c>
      <c r="M546" s="1" t="str">
        <f t="shared" si="74"/>
        <v>-50</v>
      </c>
      <c r="N546" s="1" t="str">
        <f>""</f>
        <v/>
      </c>
      <c r="O546" s="1">
        <v>1</v>
      </c>
      <c r="P546" s="1"/>
      <c r="Q546" t="s">
        <v>277</v>
      </c>
    </row>
    <row r="547" spans="1:17" x14ac:dyDescent="0.25">
      <c r="A547" t="str">
        <f>"2018-10-18 11:51:16"</f>
        <v>2018-10-18 11:51:16</v>
      </c>
      <c r="B547" s="1" t="str">
        <f>""</f>
        <v/>
      </c>
      <c r="C547" s="1" t="str">
        <f>"Club de judo To Haku kan inc."</f>
        <v>Club de judo To Haku kan inc.</v>
      </c>
      <c r="D547" s="1" t="str">
        <f>"QC"</f>
        <v>QC</v>
      </c>
      <c r="E547" s="1" t="str">
        <f>"Quebec"</f>
        <v>Quebec</v>
      </c>
      <c r="F547" s="1" t="str">
        <f>"Anthony"</f>
        <v>Anthony</v>
      </c>
      <c r="G547" s="1" t="str">
        <f>"Martel"</f>
        <v>Martel</v>
      </c>
      <c r="H547" s="1" t="str">
        <f>"0182992"</f>
        <v>0182992</v>
      </c>
      <c r="I547" s="1" t="str">
        <f t="shared" si="73"/>
        <v>M</v>
      </c>
      <c r="J547" s="2">
        <v>2005</v>
      </c>
      <c r="K547" s="1" t="str">
        <f>"2k"</f>
        <v>2k</v>
      </c>
      <c r="L547" s="1" t="str">
        <f t="shared" si="75"/>
        <v>U16</v>
      </c>
      <c r="M547" s="1" t="str">
        <f t="shared" si="74"/>
        <v>-50</v>
      </c>
      <c r="N547" s="1" t="str">
        <f>""</f>
        <v/>
      </c>
      <c r="O547" s="1">
        <v>1</v>
      </c>
      <c r="P547" s="1"/>
      <c r="Q547" t="s">
        <v>277</v>
      </c>
    </row>
    <row r="548" spans="1:17" x14ac:dyDescent="0.25">
      <c r="A548" t="str">
        <f>"2018-10-18 11:49:00"</f>
        <v>2018-10-18 11:49:00</v>
      </c>
      <c r="B548" s="1" t="str">
        <f>""</f>
        <v/>
      </c>
      <c r="C548" s="1" t="str">
        <f>"Taifu Judo Club"</f>
        <v>Taifu Judo Club</v>
      </c>
      <c r="D548" s="1" t="str">
        <f>"ON"</f>
        <v>ON</v>
      </c>
      <c r="E548" s="1" t="str">
        <f>"Ontario"</f>
        <v>Ontario</v>
      </c>
      <c r="F548" s="1" t="str">
        <f>"David"</f>
        <v>David</v>
      </c>
      <c r="G548" s="1" t="str">
        <f>"Melkonian"</f>
        <v>Melkonian</v>
      </c>
      <c r="H548" s="1" t="str">
        <f>"0192340"</f>
        <v>0192340</v>
      </c>
      <c r="I548" s="1" t="str">
        <f t="shared" si="73"/>
        <v>M</v>
      </c>
      <c r="J548" s="2">
        <v>2005</v>
      </c>
      <c r="K548" s="1" t="str">
        <f>"2k"</f>
        <v>2k</v>
      </c>
      <c r="L548" s="1" t="str">
        <f t="shared" si="75"/>
        <v>U16</v>
      </c>
      <c r="M548" s="1" t="str">
        <f t="shared" si="74"/>
        <v>-50</v>
      </c>
      <c r="N548" s="1" t="str">
        <f>""</f>
        <v/>
      </c>
      <c r="O548" s="1">
        <v>1</v>
      </c>
      <c r="P548" s="1"/>
      <c r="Q548" t="s">
        <v>277</v>
      </c>
    </row>
    <row r="549" spans="1:17" x14ac:dyDescent="0.25">
      <c r="A549" t="str">
        <f>"2018-10-13 15:29:33"</f>
        <v>2018-10-13 15:29:33</v>
      </c>
      <c r="B549" s="1" t="str">
        <f>""</f>
        <v/>
      </c>
      <c r="C549" s="1" t="str">
        <f>"Académie de Judo de Sept-Iles Inc."</f>
        <v>Académie de Judo de Sept-Iles Inc.</v>
      </c>
      <c r="D549" s="1" t="str">
        <f>"QC"</f>
        <v>QC</v>
      </c>
      <c r="E549" s="1" t="str">
        <f>"Quebec"</f>
        <v>Quebec</v>
      </c>
      <c r="F549" s="1" t="str">
        <f>"Xavier"</f>
        <v>Xavier</v>
      </c>
      <c r="G549" s="1" t="str">
        <f>"Poirier"</f>
        <v>Poirier</v>
      </c>
      <c r="H549" s="1" t="str">
        <f>"0145858"</f>
        <v>0145858</v>
      </c>
      <c r="I549" s="1" t="str">
        <f t="shared" si="73"/>
        <v>M</v>
      </c>
      <c r="J549" s="2">
        <v>2004</v>
      </c>
      <c r="K549" s="1" t="str">
        <f>"2k"</f>
        <v>2k</v>
      </c>
      <c r="L549" s="1" t="str">
        <f t="shared" si="75"/>
        <v>U16</v>
      </c>
      <c r="M549" s="1" t="str">
        <f t="shared" si="74"/>
        <v>-50</v>
      </c>
      <c r="N549" s="1" t="str">
        <f>""</f>
        <v/>
      </c>
      <c r="O549" s="1">
        <v>1</v>
      </c>
      <c r="P549" s="1"/>
      <c r="Q549" t="s">
        <v>277</v>
      </c>
    </row>
    <row r="550" spans="1:17" x14ac:dyDescent="0.25">
      <c r="A550" t="str">
        <f>"2018-10-18 21:32:53"</f>
        <v>2018-10-18 21:32:53</v>
      </c>
      <c r="B550" s="1" t="str">
        <f>""</f>
        <v/>
      </c>
      <c r="C550" s="1" t="str">
        <f>"Mill Bay Shidokai"</f>
        <v>Mill Bay Shidokai</v>
      </c>
      <c r="D550" s="1" t="str">
        <f>"BC"</f>
        <v>BC</v>
      </c>
      <c r="E550" s="1" t="str">
        <f>"British Columbia"</f>
        <v>British Columbia</v>
      </c>
      <c r="F550" s="1" t="str">
        <f>"Marcus"</f>
        <v>Marcus</v>
      </c>
      <c r="G550" s="1" t="str">
        <f>"Potts"</f>
        <v>Potts</v>
      </c>
      <c r="H550" s="1" t="str">
        <f>"0204259"</f>
        <v>0204259</v>
      </c>
      <c r="I550" s="1" t="str">
        <f t="shared" si="73"/>
        <v>M</v>
      </c>
      <c r="J550" s="2">
        <v>2004</v>
      </c>
      <c r="K550" s="1" t="str">
        <f>"2k"</f>
        <v>2k</v>
      </c>
      <c r="L550" s="1" t="s">
        <v>111</v>
      </c>
      <c r="M550" s="1" t="str">
        <f t="shared" si="74"/>
        <v>-50</v>
      </c>
      <c r="N550" s="1" t="str">
        <f>""</f>
        <v/>
      </c>
      <c r="O550" s="1">
        <v>2</v>
      </c>
      <c r="P550" s="1"/>
      <c r="Q550" t="s">
        <v>277</v>
      </c>
    </row>
    <row r="551" spans="1:17" x14ac:dyDescent="0.25">
      <c r="A551" t="str">
        <f>"2018-10-21 21:29:34"</f>
        <v>2018-10-21 21:29:34</v>
      </c>
      <c r="B551" s="1" t="str">
        <f>""</f>
        <v/>
      </c>
      <c r="C551" s="1" t="str">
        <f>"Budokan Saint-Laurent"</f>
        <v>Budokan Saint-Laurent</v>
      </c>
      <c r="D551" s="1" t="str">
        <f>"QC"</f>
        <v>QC</v>
      </c>
      <c r="E551" s="1" t="str">
        <f>"Quebec"</f>
        <v>Quebec</v>
      </c>
      <c r="F551" s="1" t="str">
        <f>"Muhammed Teymur"</f>
        <v>Muhammed Teymur</v>
      </c>
      <c r="G551" s="1" t="str">
        <f>"Riaz"</f>
        <v>Riaz</v>
      </c>
      <c r="H551" s="1" t="str">
        <f>"0189132"</f>
        <v>0189132</v>
      </c>
      <c r="I551" s="1" t="str">
        <f t="shared" si="73"/>
        <v>M</v>
      </c>
      <c r="J551" s="2">
        <v>2004</v>
      </c>
      <c r="K551" s="1" t="str">
        <f>"3k"</f>
        <v>3k</v>
      </c>
      <c r="L551" s="1" t="str">
        <f t="shared" ref="L551:L561" si="76">"U16"</f>
        <v>U16</v>
      </c>
      <c r="M551" s="1" t="str">
        <f t="shared" si="74"/>
        <v>-50</v>
      </c>
      <c r="N551" s="1" t="str">
        <f>""</f>
        <v/>
      </c>
      <c r="O551" s="1">
        <v>1</v>
      </c>
      <c r="P551" s="1"/>
      <c r="Q551" t="s">
        <v>277</v>
      </c>
    </row>
    <row r="552" spans="1:17" x14ac:dyDescent="0.25">
      <c r="A552" t="str">
        <f>"2018-10-19 22:08:42"</f>
        <v>2018-10-19 22:08:42</v>
      </c>
      <c r="B552" s="1" t="str">
        <f>""</f>
        <v/>
      </c>
      <c r="C552" s="1" t="str">
        <f>"Taifu Judo Club"</f>
        <v>Taifu Judo Club</v>
      </c>
      <c r="D552" s="1" t="str">
        <f>"ON"</f>
        <v>ON</v>
      </c>
      <c r="E552" s="1" t="str">
        <f>"Ontario"</f>
        <v>Ontario</v>
      </c>
      <c r="F552" s="1" t="str">
        <f>"Maksim"</f>
        <v>Maksim</v>
      </c>
      <c r="G552" s="1" t="str">
        <f>"Rudakov"</f>
        <v>Rudakov</v>
      </c>
      <c r="H552" s="1" t="str">
        <f>"0192346"</f>
        <v>0192346</v>
      </c>
      <c r="I552" s="1" t="str">
        <f t="shared" si="73"/>
        <v>M</v>
      </c>
      <c r="J552" s="2">
        <v>2005</v>
      </c>
      <c r="K552" s="1" t="str">
        <f>"2k"</f>
        <v>2k</v>
      </c>
      <c r="L552" s="1" t="str">
        <f t="shared" si="76"/>
        <v>U16</v>
      </c>
      <c r="M552" s="1" t="str">
        <f t="shared" si="74"/>
        <v>-50</v>
      </c>
      <c r="N552" s="1" t="str">
        <f>""</f>
        <v/>
      </c>
      <c r="O552" s="1">
        <v>1</v>
      </c>
      <c r="P552" s="1"/>
      <c r="Q552" t="s">
        <v>277</v>
      </c>
    </row>
    <row r="553" spans="1:17" x14ac:dyDescent="0.25">
      <c r="A553" t="str">
        <f>"2018-10-21 21:45:40"</f>
        <v>2018-10-21 21:45:40</v>
      </c>
      <c r="B553" s="1" t="str">
        <f>""</f>
        <v/>
      </c>
      <c r="C553" s="1" t="str">
        <f>"Club de judo Shidokan inc."</f>
        <v>Club de judo Shidokan inc.</v>
      </c>
      <c r="D553" s="1" t="str">
        <f>"QC"</f>
        <v>QC</v>
      </c>
      <c r="E553" s="1" t="str">
        <f>"Quebec"</f>
        <v>Quebec</v>
      </c>
      <c r="F553" s="1" t="str">
        <f>"Genedi"</f>
        <v>Genedi</v>
      </c>
      <c r="G553" s="1" t="str">
        <f>"Safaneyen"</f>
        <v>Safaneyen</v>
      </c>
      <c r="H553" s="1" t="str">
        <f>"0169970"</f>
        <v>0169970</v>
      </c>
      <c r="I553" s="1" t="str">
        <f t="shared" si="73"/>
        <v>M</v>
      </c>
      <c r="J553" s="2">
        <v>2004</v>
      </c>
      <c r="K553" s="1" t="str">
        <f>"3k+"</f>
        <v>3k+</v>
      </c>
      <c r="L553" s="1" t="str">
        <f t="shared" si="76"/>
        <v>U16</v>
      </c>
      <c r="M553" s="1" t="str">
        <f t="shared" si="74"/>
        <v>-50</v>
      </c>
      <c r="N553" s="1" t="str">
        <f>""</f>
        <v/>
      </c>
      <c r="O553" s="1">
        <v>1</v>
      </c>
      <c r="P553" s="1"/>
      <c r="Q553" t="s">
        <v>277</v>
      </c>
    </row>
    <row r="554" spans="1:17" x14ac:dyDescent="0.25">
      <c r="A554" t="str">
        <f>"2018-10-21 18:13:01"</f>
        <v>2018-10-21 18:13:01</v>
      </c>
      <c r="B554" s="1" t="str">
        <f>""</f>
        <v/>
      </c>
      <c r="C554" s="1" t="str">
        <f>"Burnaby Judo Club"</f>
        <v>Burnaby Judo Club</v>
      </c>
      <c r="D554" s="1" t="str">
        <f>"BC"</f>
        <v>BC</v>
      </c>
      <c r="E554" s="1" t="str">
        <f>"British Columbia"</f>
        <v>British Columbia</v>
      </c>
      <c r="F554" s="1" t="str">
        <f>"Diar"</f>
        <v>Diar</v>
      </c>
      <c r="G554" s="1" t="str">
        <f>"Shakimov"</f>
        <v>Shakimov</v>
      </c>
      <c r="H554" s="1" t="str">
        <f>"0180735"</f>
        <v>0180735</v>
      </c>
      <c r="I554" s="1" t="str">
        <f t="shared" si="73"/>
        <v>M</v>
      </c>
      <c r="J554" s="2">
        <v>2005</v>
      </c>
      <c r="K554" s="1" t="str">
        <f>"2k"</f>
        <v>2k</v>
      </c>
      <c r="L554" s="1" t="str">
        <f t="shared" si="76"/>
        <v>U16</v>
      </c>
      <c r="M554" s="1" t="str">
        <f t="shared" si="74"/>
        <v>-50</v>
      </c>
      <c r="N554" s="1" t="str">
        <f>""</f>
        <v/>
      </c>
      <c r="O554" s="1">
        <v>1</v>
      </c>
      <c r="P554" s="1"/>
      <c r="Q554" t="s">
        <v>277</v>
      </c>
    </row>
    <row r="555" spans="1:17" x14ac:dyDescent="0.25">
      <c r="A555" t="str">
        <f>"2018-10-21 21:45:40"</f>
        <v>2018-10-21 21:45:40</v>
      </c>
      <c r="B555" s="1" t="str">
        <f>""</f>
        <v/>
      </c>
      <c r="C555" s="1" t="str">
        <f>"Taifu Judo Club"</f>
        <v>Taifu Judo Club</v>
      </c>
      <c r="D555" s="1" t="str">
        <f>"ON"</f>
        <v>ON</v>
      </c>
      <c r="E555" s="1" t="str">
        <f>"Ontario"</f>
        <v>Ontario</v>
      </c>
      <c r="F555" s="1" t="str">
        <f>"Nikita"</f>
        <v>Nikita</v>
      </c>
      <c r="G555" s="1" t="str">
        <f>"Tansky"</f>
        <v>Tansky</v>
      </c>
      <c r="H555" s="1" t="str">
        <f>"0222996"</f>
        <v>0222996</v>
      </c>
      <c r="I555" s="1" t="str">
        <f t="shared" si="73"/>
        <v>M</v>
      </c>
      <c r="J555" s="2">
        <v>2005</v>
      </c>
      <c r="K555" s="1" t="str">
        <f>"3k+"</f>
        <v>3k+</v>
      </c>
      <c r="L555" s="1" t="str">
        <f t="shared" si="76"/>
        <v>U16</v>
      </c>
      <c r="M555" s="1" t="str">
        <f t="shared" si="74"/>
        <v>-50</v>
      </c>
      <c r="N555" s="1" t="str">
        <f>""</f>
        <v/>
      </c>
      <c r="O555" s="1">
        <v>1</v>
      </c>
      <c r="P555" s="1"/>
      <c r="Q555" t="s">
        <v>277</v>
      </c>
    </row>
    <row r="556" spans="1:17" x14ac:dyDescent="0.25">
      <c r="A556" t="str">
        <f>"2018-10-18 11:55:24"</f>
        <v>2018-10-18 11:55:24</v>
      </c>
      <c r="B556" s="1" t="str">
        <f>""</f>
        <v/>
      </c>
      <c r="C556" s="1" t="str">
        <f>"Institut Judo Chicoutimi"</f>
        <v>Institut Judo Chicoutimi</v>
      </c>
      <c r="D556" s="1" t="str">
        <f>"QC"</f>
        <v>QC</v>
      </c>
      <c r="E556" s="1" t="str">
        <f>"Quebec"</f>
        <v>Quebec</v>
      </c>
      <c r="F556" s="1" t="str">
        <f>"Thomas"</f>
        <v>Thomas</v>
      </c>
      <c r="G556" s="1" t="str">
        <f>"Tremblay"</f>
        <v>Tremblay</v>
      </c>
      <c r="H556" s="1" t="str">
        <f>"0190362"</f>
        <v>0190362</v>
      </c>
      <c r="I556" s="1" t="str">
        <f t="shared" si="73"/>
        <v>M</v>
      </c>
      <c r="J556" s="2">
        <v>2004</v>
      </c>
      <c r="K556" s="1" t="str">
        <f>"2k"</f>
        <v>2k</v>
      </c>
      <c r="L556" s="1" t="str">
        <f t="shared" si="76"/>
        <v>U16</v>
      </c>
      <c r="M556" s="1" t="str">
        <f t="shared" si="74"/>
        <v>-50</v>
      </c>
      <c r="N556" s="1" t="str">
        <f>""</f>
        <v/>
      </c>
      <c r="O556" s="1">
        <v>1</v>
      </c>
      <c r="P556" s="1"/>
      <c r="Q556" t="s">
        <v>277</v>
      </c>
    </row>
    <row r="557" spans="1:17" x14ac:dyDescent="0.25">
      <c r="A557" t="str">
        <f>"2018-10-25 17:41:07"</f>
        <v>2018-10-25 17:41:07</v>
      </c>
      <c r="B557" s="1" t="str">
        <f>""</f>
        <v/>
      </c>
      <c r="C557" s="1" t="str">
        <f>"Upper Canada Judo Club"</f>
        <v>Upper Canada Judo Club</v>
      </c>
      <c r="D557" s="1" t="str">
        <f>"ON"</f>
        <v>ON</v>
      </c>
      <c r="E557" s="1" t="str">
        <f>"Ontario"</f>
        <v>Ontario</v>
      </c>
      <c r="F557" s="1" t="str">
        <f>"Jared"</f>
        <v>Jared</v>
      </c>
      <c r="G557" s="1" t="str">
        <f>"Vandersanden"</f>
        <v>Vandersanden</v>
      </c>
      <c r="H557" s="1" t="str">
        <f>"0155023"</f>
        <v>0155023</v>
      </c>
      <c r="I557" s="1" t="str">
        <f t="shared" si="73"/>
        <v>M</v>
      </c>
      <c r="J557" s="2">
        <v>2005</v>
      </c>
      <c r="K557" s="1" t="str">
        <f>"2k"</f>
        <v>2k</v>
      </c>
      <c r="L557" s="1" t="str">
        <f t="shared" si="76"/>
        <v>U16</v>
      </c>
      <c r="M557" s="1" t="str">
        <f t="shared" si="74"/>
        <v>-50</v>
      </c>
      <c r="N557" s="1" t="str">
        <f>""</f>
        <v/>
      </c>
      <c r="O557" s="1">
        <v>1</v>
      </c>
      <c r="P557" s="1"/>
      <c r="Q557" t="s">
        <v>277</v>
      </c>
    </row>
    <row r="558" spans="1:17" x14ac:dyDescent="0.25">
      <c r="A558" t="str">
        <f>"2018-10-20 19:10:30"</f>
        <v>2018-10-20 19:10:30</v>
      </c>
      <c r="B558" s="1" t="str">
        <f>""</f>
        <v/>
      </c>
      <c r="C558" s="1" t="str">
        <f>"Club de Judo Ippon Inc"</f>
        <v>Club de Judo Ippon Inc</v>
      </c>
      <c r="D558" s="1" t="str">
        <f>"QC"</f>
        <v>QC</v>
      </c>
      <c r="E558" s="1" t="str">
        <f>"Quebec"</f>
        <v>Quebec</v>
      </c>
      <c r="F558" s="1" t="str">
        <f>"Denis"</f>
        <v>Denis</v>
      </c>
      <c r="G558" s="1" t="str">
        <f>"Voronov"</f>
        <v>Voronov</v>
      </c>
      <c r="H558" s="1" t="str">
        <f>"0206471"</f>
        <v>0206471</v>
      </c>
      <c r="I558" s="1" t="str">
        <f t="shared" si="73"/>
        <v>M</v>
      </c>
      <c r="J558" s="2">
        <v>2005</v>
      </c>
      <c r="K558" s="1" t="str">
        <f>"2k"</f>
        <v>2k</v>
      </c>
      <c r="L558" s="1" t="str">
        <f t="shared" si="76"/>
        <v>U16</v>
      </c>
      <c r="M558" s="1" t="str">
        <f t="shared" si="74"/>
        <v>-50</v>
      </c>
      <c r="N558" s="1" t="str">
        <f>""</f>
        <v/>
      </c>
      <c r="O558" s="1">
        <v>1</v>
      </c>
      <c r="P558" s="1"/>
      <c r="Q558" t="s">
        <v>277</v>
      </c>
    </row>
    <row r="559" spans="1:17" x14ac:dyDescent="0.25">
      <c r="A559" t="str">
        <f>"2018-09-24 17:43:09"</f>
        <v>2018-09-24 17:43:09</v>
      </c>
      <c r="B559" s="1" t="str">
        <f>""</f>
        <v/>
      </c>
      <c r="C559" s="1" t="str">
        <f>"Club de judo Shidokan inc."</f>
        <v>Club de judo Shidokan inc.</v>
      </c>
      <c r="D559" s="1" t="str">
        <f>"QC"</f>
        <v>QC</v>
      </c>
      <c r="E559" s="1" t="str">
        <f>"Quebec"</f>
        <v>Quebec</v>
      </c>
      <c r="F559" s="1" t="str">
        <f>"Elias"</f>
        <v>Elias</v>
      </c>
      <c r="G559" s="1" t="str">
        <f>"W.staszewski"</f>
        <v>W.staszewski</v>
      </c>
      <c r="H559" s="1" t="str">
        <f>"0181327"</f>
        <v>0181327</v>
      </c>
      <c r="I559" s="1" t="str">
        <f t="shared" si="73"/>
        <v>M</v>
      </c>
      <c r="J559" s="2">
        <v>2004</v>
      </c>
      <c r="K559" s="1" t="str">
        <f>"2k"</f>
        <v>2k</v>
      </c>
      <c r="L559" s="1" t="str">
        <f t="shared" si="76"/>
        <v>U16</v>
      </c>
      <c r="M559" s="1" t="str">
        <f t="shared" si="74"/>
        <v>-50</v>
      </c>
      <c r="N559" s="1" t="str">
        <f>""</f>
        <v/>
      </c>
      <c r="O559" s="1">
        <v>1</v>
      </c>
      <c r="P559" s="1"/>
      <c r="Q559" t="s">
        <v>277</v>
      </c>
    </row>
    <row r="560" spans="1:17" x14ac:dyDescent="0.25">
      <c r="A560" t="str">
        <f>"2018-10-07 18:08:35"</f>
        <v>2018-10-07 18:08:35</v>
      </c>
      <c r="B560" s="1" t="str">
        <f>""</f>
        <v/>
      </c>
      <c r="C560" s="1" t="str">
        <f>"Arts martiaux Budokai inc."</f>
        <v>Arts martiaux Budokai inc.</v>
      </c>
      <c r="D560" s="1" t="str">
        <f>"QC"</f>
        <v>QC</v>
      </c>
      <c r="E560" s="1" t="str">
        <f>"Quebec"</f>
        <v>Quebec</v>
      </c>
      <c r="F560" s="1" t="str">
        <f>"Steven"</f>
        <v>Steven</v>
      </c>
      <c r="G560" s="1" t="str">
        <f>"Yana"</f>
        <v>Yana</v>
      </c>
      <c r="H560" s="1" t="str">
        <f>"0207586"</f>
        <v>0207586</v>
      </c>
      <c r="I560" s="1" t="str">
        <f t="shared" si="73"/>
        <v>M</v>
      </c>
      <c r="J560" s="2">
        <v>2004</v>
      </c>
      <c r="K560" s="1" t="str">
        <f>"3k+"</f>
        <v>3k+</v>
      </c>
      <c r="L560" s="1" t="str">
        <f t="shared" si="76"/>
        <v>U16</v>
      </c>
      <c r="M560" s="1" t="str">
        <f t="shared" si="74"/>
        <v>-50</v>
      </c>
      <c r="N560" s="1" t="str">
        <f>""</f>
        <v/>
      </c>
      <c r="O560" s="1">
        <v>1</v>
      </c>
      <c r="P560" s="1"/>
      <c r="Q560" t="s">
        <v>277</v>
      </c>
    </row>
    <row r="561" spans="1:17" x14ac:dyDescent="0.25">
      <c r="A561" t="str">
        <f>"2018-10-24 20:10:58"</f>
        <v>2018-10-24 20:10:58</v>
      </c>
      <c r="B561" s="1" t="str">
        <f>""</f>
        <v/>
      </c>
      <c r="C561" s="1" t="str">
        <f>"Arts martiaux Budokai inc."</f>
        <v>Arts martiaux Budokai inc.</v>
      </c>
      <c r="D561" s="1" t="str">
        <f>"QC"</f>
        <v>QC</v>
      </c>
      <c r="E561" s="1" t="str">
        <f>"Quebec"</f>
        <v>Quebec</v>
      </c>
      <c r="F561" s="1" t="str">
        <f>"Yanis"</f>
        <v>Yanis</v>
      </c>
      <c r="G561" s="1" t="str">
        <f>"Yayaoui"</f>
        <v>Yayaoui</v>
      </c>
      <c r="H561" s="1" t="str">
        <f>"0172266"</f>
        <v>0172266</v>
      </c>
      <c r="I561" s="1" t="str">
        <f t="shared" si="73"/>
        <v>M</v>
      </c>
      <c r="J561" s="2">
        <v>2005</v>
      </c>
      <c r="K561" s="1" t="str">
        <f>"3k+"</f>
        <v>3k+</v>
      </c>
      <c r="L561" s="1" t="str">
        <f t="shared" si="76"/>
        <v>U16</v>
      </c>
      <c r="M561" s="1" t="str">
        <f t="shared" si="74"/>
        <v>-50</v>
      </c>
      <c r="N561" s="1" t="str">
        <f>""</f>
        <v/>
      </c>
      <c r="O561" s="1">
        <v>1</v>
      </c>
      <c r="P561" s="1"/>
      <c r="Q561" t="s">
        <v>277</v>
      </c>
    </row>
    <row r="562" spans="1:17" x14ac:dyDescent="0.25">
      <c r="A562" t="str">
        <f>"2018-10-25 17:41:07"</f>
        <v>2018-10-25 17:41:07</v>
      </c>
      <c r="B562" s="1" t="str">
        <f>""</f>
        <v/>
      </c>
      <c r="C562" s="1" t="str">
        <f>"Hart Judo Academy"</f>
        <v>Hart Judo Academy</v>
      </c>
      <c r="D562" s="1" t="str">
        <f>"BC"</f>
        <v>BC</v>
      </c>
      <c r="E562" s="1" t="str">
        <f>"British Columbia"</f>
        <v>British Columbia</v>
      </c>
      <c r="F562" s="1" t="str">
        <f>"Asher"</f>
        <v>Asher</v>
      </c>
      <c r="G562" s="1" t="str">
        <f>"Young"</f>
        <v>Young</v>
      </c>
      <c r="H562" s="1" t="str">
        <f>"0227421"</f>
        <v>0227421</v>
      </c>
      <c r="I562" s="1" t="str">
        <f t="shared" si="73"/>
        <v>M</v>
      </c>
      <c r="J562" s="2">
        <v>2004</v>
      </c>
      <c r="K562" s="1" t="str">
        <f>"2k"</f>
        <v>2k</v>
      </c>
      <c r="L562" s="1" t="s">
        <v>111</v>
      </c>
      <c r="M562" s="1" t="str">
        <f t="shared" si="74"/>
        <v>-50</v>
      </c>
      <c r="N562" s="1" t="str">
        <f>""</f>
        <v/>
      </c>
      <c r="O562" s="1">
        <v>2</v>
      </c>
      <c r="P562" s="1"/>
      <c r="Q562" t="s">
        <v>277</v>
      </c>
    </row>
    <row r="563" spans="1:17" x14ac:dyDescent="0.25">
      <c r="A563" t="str">
        <f>"2018-10-21 20:54:13"</f>
        <v>2018-10-21 20:54:13</v>
      </c>
      <c r="B563" s="1" t="str">
        <f>""</f>
        <v/>
      </c>
      <c r="C563" s="1" t="str">
        <f>"Club de Judo Boucherville inc."</f>
        <v>Club de Judo Boucherville inc.</v>
      </c>
      <c r="D563" s="1" t="str">
        <f>"QC"</f>
        <v>QC</v>
      </c>
      <c r="E563" s="1" t="str">
        <f>"Quebec"</f>
        <v>Quebec</v>
      </c>
      <c r="F563" s="1" t="str">
        <f>"Ariane"</f>
        <v>Ariane</v>
      </c>
      <c r="G563" s="1" t="str">
        <f>"Bonin"</f>
        <v>Bonin</v>
      </c>
      <c r="H563" s="1" t="str">
        <f>"0170987"</f>
        <v>0170987</v>
      </c>
      <c r="I563" s="1" t="str">
        <f t="shared" ref="I563:I575" si="77">"F"</f>
        <v>F</v>
      </c>
      <c r="J563" s="2">
        <v>2005</v>
      </c>
      <c r="K563" s="1" t="str">
        <f>"2k"</f>
        <v>2k</v>
      </c>
      <c r="L563" s="1" t="str">
        <f>"U16"</f>
        <v>U16</v>
      </c>
      <c r="M563" s="1" t="str">
        <f t="shared" ref="M563:M575" si="78">"-52"</f>
        <v>-52</v>
      </c>
      <c r="N563" s="1" t="str">
        <f>""</f>
        <v/>
      </c>
      <c r="O563" s="1">
        <v>1</v>
      </c>
      <c r="P563" s="1"/>
      <c r="Q563" t="s">
        <v>278</v>
      </c>
    </row>
    <row r="564" spans="1:17" x14ac:dyDescent="0.25">
      <c r="A564" t="str">
        <f>"2018-10-21 12:28:22"</f>
        <v>2018-10-21 12:28:22</v>
      </c>
      <c r="B564" s="1" t="str">
        <f>""</f>
        <v/>
      </c>
      <c r="C564" s="1" t="str">
        <f>"Lethbridge Kyodokan Judo Club"</f>
        <v>Lethbridge Kyodokan Judo Club</v>
      </c>
      <c r="D564" s="1" t="str">
        <f>"AB"</f>
        <v>AB</v>
      </c>
      <c r="E564" s="1" t="str">
        <f>"Alberta"</f>
        <v>Alberta</v>
      </c>
      <c r="F564" s="1" t="str">
        <f>"Rylie"</f>
        <v>Rylie</v>
      </c>
      <c r="G564" s="1" t="str">
        <f>"Caldwell"</f>
        <v>Caldwell</v>
      </c>
      <c r="H564" s="1" t="str">
        <f>"0199004"</f>
        <v>0199004</v>
      </c>
      <c r="I564" s="1" t="str">
        <f t="shared" si="77"/>
        <v>F</v>
      </c>
      <c r="J564" s="2">
        <v>2004</v>
      </c>
      <c r="K564" s="1" t="str">
        <f>"3k"</f>
        <v>3k</v>
      </c>
      <c r="L564" s="1" t="s">
        <v>111</v>
      </c>
      <c r="M564" s="1" t="str">
        <f t="shared" si="78"/>
        <v>-52</v>
      </c>
      <c r="N564" s="1" t="str">
        <f>""</f>
        <v/>
      </c>
      <c r="O564" s="1">
        <v>2</v>
      </c>
      <c r="P564" s="1"/>
      <c r="Q564" t="s">
        <v>278</v>
      </c>
    </row>
    <row r="565" spans="1:17" x14ac:dyDescent="0.25">
      <c r="A565" t="str">
        <f>"2018-10-20 21:59:19"</f>
        <v>2018-10-20 21:59:19</v>
      </c>
      <c r="B565" s="1" t="str">
        <f>""</f>
        <v/>
      </c>
      <c r="C565" s="1" t="str">
        <f>"Saskatoon Ymca Judo Club"</f>
        <v>Saskatoon Ymca Judo Club</v>
      </c>
      <c r="D565" s="1" t="str">
        <f>"SK"</f>
        <v>SK</v>
      </c>
      <c r="E565" s="1" t="str">
        <f>"Saskatchewan"</f>
        <v>Saskatchewan</v>
      </c>
      <c r="F565" s="1" t="str">
        <f>"Brooklyn"</f>
        <v>Brooklyn</v>
      </c>
      <c r="G565" s="1" t="str">
        <f>"Franson"</f>
        <v>Franson</v>
      </c>
      <c r="H565" s="1" t="str">
        <f>"0227116"</f>
        <v>0227116</v>
      </c>
      <c r="I565" s="1" t="str">
        <f t="shared" si="77"/>
        <v>F</v>
      </c>
      <c r="J565" s="2">
        <v>2005</v>
      </c>
      <c r="K565" s="1" t="str">
        <f>"3k"</f>
        <v>3k</v>
      </c>
      <c r="L565" s="1" t="str">
        <f>"U16"</f>
        <v>U16</v>
      </c>
      <c r="M565" s="1" t="str">
        <f t="shared" si="78"/>
        <v>-52</v>
      </c>
      <c r="N565" s="1" t="str">
        <f>""</f>
        <v/>
      </c>
      <c r="O565" s="1">
        <v>1</v>
      </c>
      <c r="P565" s="1"/>
      <c r="Q565" t="s">
        <v>278</v>
      </c>
    </row>
    <row r="566" spans="1:17" x14ac:dyDescent="0.25">
      <c r="A566" t="str">
        <f>"2018-10-20 15:33:21"</f>
        <v>2018-10-20 15:33:21</v>
      </c>
      <c r="B566" s="1" t="str">
        <f>""</f>
        <v/>
      </c>
      <c r="C566" s="1" t="str">
        <f>"Club de Judo et de Ju-Jitsu Juvaldo inc."</f>
        <v>Club de Judo et de Ju-Jitsu Juvaldo inc.</v>
      </c>
      <c r="D566" s="1" t="str">
        <f>"QC"</f>
        <v>QC</v>
      </c>
      <c r="E566" s="1" t="str">
        <f>"Quebec"</f>
        <v>Quebec</v>
      </c>
      <c r="F566" s="1" t="str">
        <f>"Katherine"</f>
        <v>Katherine</v>
      </c>
      <c r="G566" s="1" t="str">
        <f>"Gaulin"</f>
        <v>Gaulin</v>
      </c>
      <c r="H566" s="1" t="str">
        <f>"0202917"</f>
        <v>0202917</v>
      </c>
      <c r="I566" s="1" t="str">
        <f t="shared" si="77"/>
        <v>F</v>
      </c>
      <c r="J566" s="2">
        <v>2004</v>
      </c>
      <c r="K566" s="1" t="str">
        <f>"3k"</f>
        <v>3k</v>
      </c>
      <c r="L566" s="1" t="str">
        <f>"U16"</f>
        <v>U16</v>
      </c>
      <c r="M566" s="1" t="str">
        <f t="shared" si="78"/>
        <v>-52</v>
      </c>
      <c r="N566" s="1" t="str">
        <f>""</f>
        <v/>
      </c>
      <c r="O566" s="1">
        <v>1</v>
      </c>
      <c r="P566" s="1"/>
      <c r="Q566" t="s">
        <v>278</v>
      </c>
    </row>
    <row r="567" spans="1:17" x14ac:dyDescent="0.25">
      <c r="A567" t="str">
        <f>"2018-10-14 17:20:33"</f>
        <v>2018-10-14 17:20:33</v>
      </c>
      <c r="B567" s="1" t="str">
        <f>""</f>
        <v/>
      </c>
      <c r="C567" s="1" t="str">
        <f>"Club de judo Métropolitain inc."</f>
        <v>Club de judo Métropolitain inc.</v>
      </c>
      <c r="D567" s="1" t="str">
        <f>"QC"</f>
        <v>QC</v>
      </c>
      <c r="E567" s="1" t="str">
        <f>"Quebec"</f>
        <v>Quebec</v>
      </c>
      <c r="F567" s="1" t="str">
        <f>"Loundja"</f>
        <v>Loundja</v>
      </c>
      <c r="G567" s="1" t="str">
        <f>"Ikene"</f>
        <v>Ikene</v>
      </c>
      <c r="H567" s="1" t="str">
        <f>"0195172"</f>
        <v>0195172</v>
      </c>
      <c r="I567" s="1" t="str">
        <f t="shared" si="77"/>
        <v>F</v>
      </c>
      <c r="J567" s="2">
        <v>2005</v>
      </c>
      <c r="K567" s="1" t="str">
        <f>"2k"</f>
        <v>2k</v>
      </c>
      <c r="L567" s="1" t="str">
        <f>"U16"</f>
        <v>U16</v>
      </c>
      <c r="M567" s="1" t="str">
        <f t="shared" si="78"/>
        <v>-52</v>
      </c>
      <c r="N567" s="1" t="str">
        <f>""</f>
        <v/>
      </c>
      <c r="O567" s="1">
        <v>1</v>
      </c>
      <c r="P567" s="1"/>
      <c r="Q567" t="s">
        <v>278</v>
      </c>
    </row>
    <row r="568" spans="1:17" x14ac:dyDescent="0.25">
      <c r="A568" t="str">
        <f>"2018-10-21 12:44:01"</f>
        <v>2018-10-21 12:44:01</v>
      </c>
      <c r="B568" s="1" t="str">
        <f>""</f>
        <v/>
      </c>
      <c r="C568" s="1" t="str">
        <f>"Burnaby Judo Club"</f>
        <v>Burnaby Judo Club</v>
      </c>
      <c r="D568" s="1" t="str">
        <f>"BC"</f>
        <v>BC</v>
      </c>
      <c r="E568" s="1" t="str">
        <f>"British Columbia"</f>
        <v>British Columbia</v>
      </c>
      <c r="F568" s="1" t="str">
        <f>"Hailey"</f>
        <v>Hailey</v>
      </c>
      <c r="G568" s="1" t="str">
        <f>"Ko"</f>
        <v>Ko</v>
      </c>
      <c r="H568" s="1" t="str">
        <f>"0201224"</f>
        <v>0201224</v>
      </c>
      <c r="I568" s="1" t="str">
        <f t="shared" si="77"/>
        <v>F</v>
      </c>
      <c r="J568" s="2">
        <v>2004</v>
      </c>
      <c r="K568" s="1" t="str">
        <f>"2k"</f>
        <v>2k</v>
      </c>
      <c r="L568" s="1" t="s">
        <v>111</v>
      </c>
      <c r="M568" s="1" t="str">
        <f t="shared" si="78"/>
        <v>-52</v>
      </c>
      <c r="N568" s="1" t="str">
        <f>""</f>
        <v/>
      </c>
      <c r="O568" s="1">
        <v>2</v>
      </c>
      <c r="P568" s="1"/>
      <c r="Q568" t="s">
        <v>278</v>
      </c>
    </row>
    <row r="569" spans="1:17" x14ac:dyDescent="0.25">
      <c r="A569" t="str">
        <f>"2018-10-21 23:17:02"</f>
        <v>2018-10-21 23:17:02</v>
      </c>
      <c r="B569" s="1" t="str">
        <f>""</f>
        <v/>
      </c>
      <c r="C569" s="1" t="str">
        <f>"Club de judo Shidokan inc."</f>
        <v>Club de judo Shidokan inc.</v>
      </c>
      <c r="D569" s="1" t="str">
        <f>"QC"</f>
        <v>QC</v>
      </c>
      <c r="E569" s="1" t="str">
        <f>"Quebec"</f>
        <v>Quebec</v>
      </c>
      <c r="F569" s="1" t="str">
        <f>"Rebeca"</f>
        <v>Rebeca</v>
      </c>
      <c r="G569" s="1" t="str">
        <f>"Manaila"</f>
        <v>Manaila</v>
      </c>
      <c r="H569" s="1" t="str">
        <f>"0204299"</f>
        <v>0204299</v>
      </c>
      <c r="I569" s="1" t="str">
        <f t="shared" si="77"/>
        <v>F</v>
      </c>
      <c r="J569" s="2">
        <v>2004</v>
      </c>
      <c r="K569" s="1" t="str">
        <f>"2k+"</f>
        <v>2k+</v>
      </c>
      <c r="L569" s="1" t="str">
        <f t="shared" ref="L569:L593" si="79">"U16"</f>
        <v>U16</v>
      </c>
      <c r="M569" s="1" t="str">
        <f t="shared" si="78"/>
        <v>-52</v>
      </c>
      <c r="N569" s="1" t="str">
        <f>""</f>
        <v/>
      </c>
      <c r="O569" s="1">
        <v>1</v>
      </c>
      <c r="P569" s="1"/>
      <c r="Q569" t="s">
        <v>278</v>
      </c>
    </row>
    <row r="570" spans="1:17" x14ac:dyDescent="0.25">
      <c r="A570" t="str">
        <f>"2018-10-14 19:46:54"</f>
        <v>2018-10-14 19:46:54</v>
      </c>
      <c r="B570" s="1" t="str">
        <f>""</f>
        <v/>
      </c>
      <c r="C570" s="1" t="str">
        <f>"Club de judo Torii"</f>
        <v>Club de judo Torii</v>
      </c>
      <c r="D570" s="1" t="str">
        <f>"QC"</f>
        <v>QC</v>
      </c>
      <c r="E570" s="1" t="str">
        <f>"Quebec"</f>
        <v>Quebec</v>
      </c>
      <c r="F570" s="1" t="str">
        <f>"Alicia-Rose"</f>
        <v>Alicia-Rose</v>
      </c>
      <c r="G570" s="1" t="str">
        <f>"Minier"</f>
        <v>Minier</v>
      </c>
      <c r="H570" s="1" t="str">
        <f>"0215676"</f>
        <v>0215676</v>
      </c>
      <c r="I570" s="1" t="str">
        <f t="shared" si="77"/>
        <v>F</v>
      </c>
      <c r="J570" s="2">
        <v>2004</v>
      </c>
      <c r="K570" s="1" t="str">
        <f>"3k+"</f>
        <v>3k+</v>
      </c>
      <c r="L570" s="1" t="str">
        <f t="shared" si="79"/>
        <v>U16</v>
      </c>
      <c r="M570" s="1" t="str">
        <f t="shared" si="78"/>
        <v>-52</v>
      </c>
      <c r="N570" s="1" t="str">
        <f>""</f>
        <v/>
      </c>
      <c r="O570" s="1">
        <v>1</v>
      </c>
      <c r="P570" s="1"/>
      <c r="Q570" t="s">
        <v>278</v>
      </c>
    </row>
    <row r="571" spans="1:17" x14ac:dyDescent="0.25">
      <c r="A571" t="str">
        <f>"2018-10-21 13:01:11"</f>
        <v>2018-10-21 13:01:11</v>
      </c>
      <c r="B571" s="1" t="str">
        <f>"2018-10-23 07:48:26"</f>
        <v>2018-10-23 07:48:26</v>
      </c>
      <c r="C571" s="1" t="str">
        <f>"Ishi Yama Institute Of Judo"</f>
        <v>Ishi Yama Institute Of Judo</v>
      </c>
      <c r="D571" s="1" t="str">
        <f>"AB"</f>
        <v>AB</v>
      </c>
      <c r="E571" s="1" t="str">
        <f>"Alberta"</f>
        <v>Alberta</v>
      </c>
      <c r="F571" s="1" t="str">
        <f>"Mckinna"</f>
        <v>Mckinna</v>
      </c>
      <c r="G571" s="1" t="str">
        <f>"Morrison"</f>
        <v>Morrison</v>
      </c>
      <c r="H571" s="1" t="str">
        <f>"0182295"</f>
        <v>0182295</v>
      </c>
      <c r="I571" s="1" t="str">
        <f t="shared" si="77"/>
        <v>F</v>
      </c>
      <c r="J571" s="2">
        <v>2005</v>
      </c>
      <c r="K571" s="1" t="str">
        <f>"2k"</f>
        <v>2k</v>
      </c>
      <c r="L571" s="1" t="str">
        <f t="shared" si="79"/>
        <v>U16</v>
      </c>
      <c r="M571" s="1" t="str">
        <f t="shared" si="78"/>
        <v>-52</v>
      </c>
      <c r="N571" s="1" t="str">
        <f>""</f>
        <v/>
      </c>
      <c r="O571" s="1">
        <v>1</v>
      </c>
      <c r="P571" s="1"/>
      <c r="Q571" t="s">
        <v>278</v>
      </c>
    </row>
    <row r="572" spans="1:17" x14ac:dyDescent="0.25">
      <c r="A572" t="str">
        <f>"2018-10-19 18:30:02"</f>
        <v>2018-10-19 18:30:02</v>
      </c>
      <c r="B572" s="1" t="str">
        <f>"2018-10-23 20:08:52"</f>
        <v>2018-10-23 20:08:52</v>
      </c>
      <c r="C572" s="1" t="str">
        <f>"Club de judo Seïkidokan inc."</f>
        <v>Club de judo Seïkidokan inc.</v>
      </c>
      <c r="D572" s="1" t="str">
        <f>"QC"</f>
        <v>QC</v>
      </c>
      <c r="E572" s="1" t="str">
        <f>"Quebec"</f>
        <v>Quebec</v>
      </c>
      <c r="F572" s="1" t="str">
        <f>"Selena"</f>
        <v>Selena</v>
      </c>
      <c r="G572" s="1" t="str">
        <f>"Nocedo Dufour"</f>
        <v>Nocedo Dufour</v>
      </c>
      <c r="H572" s="1">
        <v>171497</v>
      </c>
      <c r="I572" s="1" t="str">
        <f t="shared" si="77"/>
        <v>F</v>
      </c>
      <c r="J572" s="2">
        <v>2005</v>
      </c>
      <c r="K572" s="1" t="str">
        <f>"3k"</f>
        <v>3k</v>
      </c>
      <c r="L572" s="1" t="str">
        <f t="shared" si="79"/>
        <v>U16</v>
      </c>
      <c r="M572" s="1" t="str">
        <f t="shared" si="78"/>
        <v>-52</v>
      </c>
      <c r="N572" s="1" t="str">
        <f>""</f>
        <v/>
      </c>
      <c r="O572" s="1">
        <v>1</v>
      </c>
      <c r="P572" s="1"/>
      <c r="Q572" t="s">
        <v>278</v>
      </c>
    </row>
    <row r="573" spans="1:17" x14ac:dyDescent="0.25">
      <c r="A573" t="str">
        <f>"2018-10-21 12:44:01"</f>
        <v>2018-10-21 12:44:01</v>
      </c>
      <c r="B573" s="1" t="str">
        <f>""</f>
        <v/>
      </c>
      <c r="C573" s="1" t="str">
        <f>"Atlantic Training Center"</f>
        <v>Atlantic Training Center</v>
      </c>
      <c r="D573" s="1" t="str">
        <f>"NS"</f>
        <v>NS</v>
      </c>
      <c r="E573" s="1" t="str">
        <f>"Nova Scotia"</f>
        <v>Nova Scotia</v>
      </c>
      <c r="F573" s="1" t="str">
        <f>"Hailey"</f>
        <v>Hailey</v>
      </c>
      <c r="G573" s="1" t="str">
        <f>"Peddle"</f>
        <v>Peddle</v>
      </c>
      <c r="H573" s="1" t="str">
        <f>"0173254"</f>
        <v>0173254</v>
      </c>
      <c r="I573" s="1" t="str">
        <f t="shared" si="77"/>
        <v>F</v>
      </c>
      <c r="J573" s="2">
        <v>2004</v>
      </c>
      <c r="K573" s="1" t="str">
        <f>"2k"</f>
        <v>2k</v>
      </c>
      <c r="L573" s="1" t="str">
        <f t="shared" si="79"/>
        <v>U16</v>
      </c>
      <c r="M573" s="1" t="str">
        <f t="shared" si="78"/>
        <v>-52</v>
      </c>
      <c r="N573" s="1" t="str">
        <f>""</f>
        <v/>
      </c>
      <c r="O573" s="1">
        <v>1</v>
      </c>
      <c r="P573" s="1"/>
      <c r="Q573" t="s">
        <v>278</v>
      </c>
    </row>
    <row r="574" spans="1:17" x14ac:dyDescent="0.25">
      <c r="B574" s="1" t="str">
        <f>""</f>
        <v/>
      </c>
      <c r="C574" s="1" t="str">
        <f>"Club de Judo Ippon Inc"</f>
        <v>Club de Judo Ippon Inc</v>
      </c>
      <c r="D574" s="1" t="str">
        <f>"QC"</f>
        <v>QC</v>
      </c>
      <c r="E574" s="1" t="str">
        <f>"Quebec"</f>
        <v>Quebec</v>
      </c>
      <c r="F574" s="1" t="str">
        <f>"Anastasiya"</f>
        <v>Anastasiya</v>
      </c>
      <c r="G574" s="1" t="str">
        <f>"Semyroszum"</f>
        <v>Semyroszum</v>
      </c>
      <c r="H574" s="1" t="str">
        <f>"0203071"</f>
        <v>0203071</v>
      </c>
      <c r="I574" s="1" t="str">
        <f t="shared" si="77"/>
        <v>F</v>
      </c>
      <c r="J574" s="1">
        <v>2004</v>
      </c>
      <c r="K574" s="1" t="s">
        <v>80</v>
      </c>
      <c r="L574" s="1" t="str">
        <f t="shared" si="79"/>
        <v>U16</v>
      </c>
      <c r="M574" s="1" t="str">
        <f t="shared" si="78"/>
        <v>-52</v>
      </c>
      <c r="N574" s="1"/>
      <c r="O574" s="1">
        <v>1</v>
      </c>
      <c r="P574" s="1"/>
      <c r="Q574" t="s">
        <v>278</v>
      </c>
    </row>
    <row r="575" spans="1:17" x14ac:dyDescent="0.25">
      <c r="A575" t="str">
        <f>"2018-10-17 01:22:25"</f>
        <v>2018-10-17 01:22:25</v>
      </c>
      <c r="B575" s="1" t="str">
        <f>"2018-10-20 21:05:32"</f>
        <v>2018-10-20 21:05:32</v>
      </c>
      <c r="C575" s="1" t="str">
        <f>"Shin Bu Kan"</f>
        <v>Shin Bu Kan</v>
      </c>
      <c r="D575" s="1" t="str">
        <f>"ON"</f>
        <v>ON</v>
      </c>
      <c r="E575" s="1" t="str">
        <f>"Ontario"</f>
        <v>Ontario</v>
      </c>
      <c r="F575" s="1" t="str">
        <f>"Olivia"</f>
        <v>Olivia</v>
      </c>
      <c r="G575" s="1" t="str">
        <f>"Szecowka"</f>
        <v>Szecowka</v>
      </c>
      <c r="H575" s="1" t="str">
        <f>"0196789"</f>
        <v>0196789</v>
      </c>
      <c r="I575" s="1" t="str">
        <f t="shared" si="77"/>
        <v>F</v>
      </c>
      <c r="J575" s="2">
        <v>2005</v>
      </c>
      <c r="K575" s="1" t="str">
        <f>"3k"</f>
        <v>3k</v>
      </c>
      <c r="L575" s="1" t="str">
        <f t="shared" si="79"/>
        <v>U16</v>
      </c>
      <c r="M575" s="1" t="str">
        <f t="shared" si="78"/>
        <v>-52</v>
      </c>
      <c r="N575" s="1" t="str">
        <f>""</f>
        <v/>
      </c>
      <c r="O575" s="1">
        <v>1</v>
      </c>
      <c r="P575" s="1"/>
      <c r="Q575" t="s">
        <v>278</v>
      </c>
    </row>
    <row r="576" spans="1:17" x14ac:dyDescent="0.25">
      <c r="A576" t="str">
        <f>"2018-10-19 11:17:37"</f>
        <v>2018-10-19 11:17:37</v>
      </c>
      <c r="B576" s="1" t="str">
        <f>""</f>
        <v/>
      </c>
      <c r="C576" s="1" t="str">
        <f>"Club de judo Saint-Hyacinthe Inc."</f>
        <v>Club de judo Saint-Hyacinthe Inc.</v>
      </c>
      <c r="D576" s="1" t="str">
        <f>"QC"</f>
        <v>QC</v>
      </c>
      <c r="E576" s="1" t="str">
        <f>"Québec/Canada"</f>
        <v>Québec/Canada</v>
      </c>
      <c r="F576" s="1" t="str">
        <f>"Justin"</f>
        <v>Justin</v>
      </c>
      <c r="G576" s="1" t="str">
        <f>"Beaudry"</f>
        <v>Beaudry</v>
      </c>
      <c r="H576" s="1" t="str">
        <f>"0180619"</f>
        <v>0180619</v>
      </c>
      <c r="I576" s="1" t="str">
        <f t="shared" ref="I576:I598" si="80">"M"</f>
        <v>M</v>
      </c>
      <c r="J576" s="2">
        <v>2004</v>
      </c>
      <c r="K576" s="1" t="str">
        <f>"2k"</f>
        <v>2k</v>
      </c>
      <c r="L576" s="1" t="str">
        <f t="shared" si="79"/>
        <v>U16</v>
      </c>
      <c r="M576" s="1" t="str">
        <f t="shared" ref="M576:M598" si="81">"-55"</f>
        <v>-55</v>
      </c>
      <c r="N576" s="1" t="str">
        <f>""</f>
        <v/>
      </c>
      <c r="O576" s="1">
        <v>1</v>
      </c>
      <c r="P576" s="1"/>
      <c r="Q576" t="s">
        <v>279</v>
      </c>
    </row>
    <row r="577" spans="1:17" x14ac:dyDescent="0.25">
      <c r="A577" t="str">
        <f>"2018-10-20 12:09:39"</f>
        <v>2018-10-20 12:09:39</v>
      </c>
      <c r="B577" s="1" t="str">
        <f>""</f>
        <v/>
      </c>
      <c r="C577" s="1" t="str">
        <f>"Arts martiaux Budokai inc."</f>
        <v>Arts martiaux Budokai inc.</v>
      </c>
      <c r="D577" s="1" t="str">
        <f>"QC"</f>
        <v>QC</v>
      </c>
      <c r="E577" s="1" t="str">
        <f>"Quebec"</f>
        <v>Quebec</v>
      </c>
      <c r="F577" s="1" t="str">
        <f>"Alexi"</f>
        <v>Alexi</v>
      </c>
      <c r="G577" s="1" t="str">
        <f>"Bertrand"</f>
        <v>Bertrand</v>
      </c>
      <c r="H577" s="1" t="str">
        <f>"0156757"</f>
        <v>0156757</v>
      </c>
      <c r="I577" s="1" t="str">
        <f t="shared" si="80"/>
        <v>M</v>
      </c>
      <c r="J577" s="2">
        <v>2004</v>
      </c>
      <c r="K577" s="1" t="str">
        <f>"2k"</f>
        <v>2k</v>
      </c>
      <c r="L577" s="1" t="str">
        <f t="shared" si="79"/>
        <v>U16</v>
      </c>
      <c r="M577" s="1" t="str">
        <f t="shared" si="81"/>
        <v>-55</v>
      </c>
      <c r="N577" s="1" t="str">
        <f>""</f>
        <v/>
      </c>
      <c r="O577" s="1">
        <v>1</v>
      </c>
      <c r="P577" s="1"/>
      <c r="Q577" t="s">
        <v>279</v>
      </c>
    </row>
    <row r="578" spans="1:17" x14ac:dyDescent="0.25">
      <c r="A578" t="str">
        <f>"2018-10-25 10:00:49"</f>
        <v>2018-10-25 10:00:49</v>
      </c>
      <c r="B578" s="1" t="str">
        <f>"2018-10-06 14:16:05"</f>
        <v>2018-10-06 14:16:05</v>
      </c>
      <c r="C578" s="1" t="str">
        <f>"Ishi Yama Institute Of Judo"</f>
        <v>Ishi Yama Institute Of Judo</v>
      </c>
      <c r="D578" s="1" t="str">
        <f>"AB"</f>
        <v>AB</v>
      </c>
      <c r="E578" s="1" t="str">
        <f>"Alberta"</f>
        <v>Alberta</v>
      </c>
      <c r="F578" s="1" t="str">
        <f>"Albert"</f>
        <v>Albert</v>
      </c>
      <c r="G578" s="1" t="str">
        <f>"Bixi"</f>
        <v>Bixi</v>
      </c>
      <c r="H578" s="1" t="str">
        <f>"0230631"</f>
        <v>0230631</v>
      </c>
      <c r="I578" s="1" t="str">
        <f t="shared" si="80"/>
        <v>M</v>
      </c>
      <c r="J578" s="2">
        <v>2005</v>
      </c>
      <c r="K578" s="1" t="str">
        <f>"3k"</f>
        <v>3k</v>
      </c>
      <c r="L578" s="1" t="str">
        <f t="shared" si="79"/>
        <v>U16</v>
      </c>
      <c r="M578" s="1" t="str">
        <f t="shared" si="81"/>
        <v>-55</v>
      </c>
      <c r="N578" s="1" t="str">
        <f>""</f>
        <v/>
      </c>
      <c r="O578" s="1">
        <v>1</v>
      </c>
      <c r="P578" s="1"/>
      <c r="Q578" t="s">
        <v>279</v>
      </c>
    </row>
    <row r="579" spans="1:17" x14ac:dyDescent="0.25">
      <c r="A579" t="str">
        <f>"2018-10-25 17:41:07"</f>
        <v>2018-10-25 17:41:07</v>
      </c>
      <c r="B579" s="1" t="str">
        <f>""</f>
        <v/>
      </c>
      <c r="C579" s="1" t="str">
        <f>"Judo Univestri/donini"</f>
        <v>Judo Univestri/donini</v>
      </c>
      <c r="D579" s="1" t="str">
        <f>"QC"</f>
        <v>QC</v>
      </c>
      <c r="E579" s="1" t="str">
        <f>"Quebec"</f>
        <v>Quebec</v>
      </c>
      <c r="F579" s="1" t="str">
        <f>"Louis"</f>
        <v>Louis</v>
      </c>
      <c r="G579" s="1" t="str">
        <f>"Doyon"</f>
        <v>Doyon</v>
      </c>
      <c r="H579" s="1" t="str">
        <f>"0200647"</f>
        <v>0200647</v>
      </c>
      <c r="I579" s="1" t="str">
        <f t="shared" si="80"/>
        <v>M</v>
      </c>
      <c r="J579" s="2">
        <v>2005</v>
      </c>
      <c r="K579" s="1" t="str">
        <f>"3k"</f>
        <v>3k</v>
      </c>
      <c r="L579" s="1" t="str">
        <f t="shared" si="79"/>
        <v>U16</v>
      </c>
      <c r="M579" s="1" t="str">
        <f t="shared" si="81"/>
        <v>-55</v>
      </c>
      <c r="N579" s="1" t="str">
        <f>""</f>
        <v/>
      </c>
      <c r="O579" s="1">
        <v>1</v>
      </c>
      <c r="P579" s="1"/>
      <c r="Q579" t="s">
        <v>279</v>
      </c>
    </row>
    <row r="580" spans="1:17" x14ac:dyDescent="0.25">
      <c r="A580" t="str">
        <f>"2018-10-20 12:09:39"</f>
        <v>2018-10-20 12:09:39</v>
      </c>
      <c r="B580" s="1" t="str">
        <f>""</f>
        <v/>
      </c>
      <c r="C580" s="1" t="str">
        <f>"Judo Blainville"</f>
        <v>Judo Blainville</v>
      </c>
      <c r="D580" s="1" t="str">
        <f>"QC"</f>
        <v>QC</v>
      </c>
      <c r="E580" s="1" t="str">
        <f>"Quebec"</f>
        <v>Quebec</v>
      </c>
      <c r="F580" s="1" t="str">
        <f>"Damien"</f>
        <v>Damien</v>
      </c>
      <c r="G580" s="1" t="str">
        <f>"Follain"</f>
        <v>Follain</v>
      </c>
      <c r="H580" s="1" t="str">
        <f>"0206648"</f>
        <v>0206648</v>
      </c>
      <c r="I580" s="1" t="str">
        <f t="shared" si="80"/>
        <v>M</v>
      </c>
      <c r="J580" s="2">
        <v>2004</v>
      </c>
      <c r="K580" s="1" t="str">
        <f>"2k"</f>
        <v>2k</v>
      </c>
      <c r="L580" s="1" t="str">
        <f t="shared" si="79"/>
        <v>U16</v>
      </c>
      <c r="M580" s="1" t="str">
        <f t="shared" si="81"/>
        <v>-55</v>
      </c>
      <c r="N580" s="1" t="str">
        <f>""</f>
        <v/>
      </c>
      <c r="O580" s="1">
        <v>1</v>
      </c>
      <c r="P580" s="1"/>
      <c r="Q580" t="s">
        <v>279</v>
      </c>
    </row>
    <row r="581" spans="1:17" x14ac:dyDescent="0.25">
      <c r="A581" t="str">
        <f>"2018-10-19 17:43:48"</f>
        <v>2018-10-19 17:43:48</v>
      </c>
      <c r="B581" s="1" t="str">
        <f>""</f>
        <v/>
      </c>
      <c r="C581" s="1" t="str">
        <f>"Club de judo Torakai"</f>
        <v>Club de judo Torakai</v>
      </c>
      <c r="D581" s="1" t="str">
        <f>"QC"</f>
        <v>QC</v>
      </c>
      <c r="E581" s="1" t="str">
        <f>"Quebec"</f>
        <v>Quebec</v>
      </c>
      <c r="F581" s="1" t="str">
        <f>"Raphael"</f>
        <v>Raphael</v>
      </c>
      <c r="G581" s="1" t="str">
        <f>"Gagnon"</f>
        <v>Gagnon</v>
      </c>
      <c r="H581" s="1" t="str">
        <f>"0186303"</f>
        <v>0186303</v>
      </c>
      <c r="I581" s="1" t="str">
        <f t="shared" si="80"/>
        <v>M</v>
      </c>
      <c r="J581" s="2">
        <v>2004</v>
      </c>
      <c r="K581" s="1" t="str">
        <f>"1k"</f>
        <v>1k</v>
      </c>
      <c r="L581" s="1" t="str">
        <f t="shared" si="79"/>
        <v>U16</v>
      </c>
      <c r="M581" s="1" t="str">
        <f t="shared" si="81"/>
        <v>-55</v>
      </c>
      <c r="N581" s="1" t="str">
        <f>""</f>
        <v/>
      </c>
      <c r="O581" s="1">
        <v>1</v>
      </c>
      <c r="P581" s="1"/>
      <c r="Q581" t="s">
        <v>279</v>
      </c>
    </row>
    <row r="582" spans="1:17" x14ac:dyDescent="0.25">
      <c r="A582" t="str">
        <f>"2018-10-18 17:17:29"</f>
        <v>2018-10-18 17:17:29</v>
      </c>
      <c r="B582" s="1" t="str">
        <f>""</f>
        <v/>
      </c>
      <c r="C582" s="1" t="str">
        <f>"Ishi Yama Institute Of Judo"</f>
        <v>Ishi Yama Institute Of Judo</v>
      </c>
      <c r="D582" s="1" t="str">
        <f>"AB"</f>
        <v>AB</v>
      </c>
      <c r="E582" s="1" t="str">
        <f>"Alberta"</f>
        <v>Alberta</v>
      </c>
      <c r="F582" s="1" t="str">
        <f>"Anthony"</f>
        <v>Anthony</v>
      </c>
      <c r="G582" s="1" t="str">
        <f>"Gorodetsky"</f>
        <v>Gorodetsky</v>
      </c>
      <c r="H582" s="1" t="str">
        <f>"0182288"</f>
        <v>0182288</v>
      </c>
      <c r="I582" s="1" t="str">
        <f t="shared" si="80"/>
        <v>M</v>
      </c>
      <c r="J582" s="2">
        <v>2005</v>
      </c>
      <c r="K582" s="1" t="str">
        <f>"2k"</f>
        <v>2k</v>
      </c>
      <c r="L582" s="1" t="str">
        <f t="shared" si="79"/>
        <v>U16</v>
      </c>
      <c r="M582" s="1" t="str">
        <f t="shared" si="81"/>
        <v>-55</v>
      </c>
      <c r="N582" s="1" t="str">
        <f>""</f>
        <v/>
      </c>
      <c r="O582" s="1">
        <v>1</v>
      </c>
      <c r="P582" s="1"/>
      <c r="Q582" t="s">
        <v>279</v>
      </c>
    </row>
    <row r="583" spans="1:17" x14ac:dyDescent="0.25">
      <c r="A583" t="str">
        <f>"2018-10-25 17:41:07"</f>
        <v>2018-10-25 17:41:07</v>
      </c>
      <c r="B583" s="1" t="str">
        <f>""</f>
        <v/>
      </c>
      <c r="C583" s="1" t="str">
        <f>"Judo Ju Shin Kan Laterrière"</f>
        <v>Judo Ju Shin Kan Laterrière</v>
      </c>
      <c r="D583" s="1" t="str">
        <f>"QC"</f>
        <v>QC</v>
      </c>
      <c r="E583" s="1" t="str">
        <f>"Quebec"</f>
        <v>Quebec</v>
      </c>
      <c r="F583" s="1" t="str">
        <f>"Jérémy"</f>
        <v>Jérémy</v>
      </c>
      <c r="G583" s="1" t="str">
        <f>"Grenier"</f>
        <v>Grenier</v>
      </c>
      <c r="H583" s="1" t="str">
        <f>"0162609"</f>
        <v>0162609</v>
      </c>
      <c r="I583" s="1" t="str">
        <f t="shared" si="80"/>
        <v>M</v>
      </c>
      <c r="J583" s="2">
        <v>2004</v>
      </c>
      <c r="K583" s="1" t="str">
        <f>"1k"</f>
        <v>1k</v>
      </c>
      <c r="L583" s="1" t="str">
        <f t="shared" si="79"/>
        <v>U16</v>
      </c>
      <c r="M583" s="1" t="str">
        <f t="shared" si="81"/>
        <v>-55</v>
      </c>
      <c r="N583" s="1" t="str">
        <f>""</f>
        <v/>
      </c>
      <c r="O583" s="1">
        <v>1</v>
      </c>
      <c r="P583" s="1"/>
      <c r="Q583" t="s">
        <v>279</v>
      </c>
    </row>
    <row r="584" spans="1:17" x14ac:dyDescent="0.25">
      <c r="A584" t="str">
        <f>"2018-10-25 17:41:07"</f>
        <v>2018-10-25 17:41:07</v>
      </c>
      <c r="B584" s="1" t="str">
        <f>""</f>
        <v/>
      </c>
      <c r="C584" s="1" t="str">
        <f>"Club judokas Jonquière inc."</f>
        <v>Club judokas Jonquière inc.</v>
      </c>
      <c r="D584" s="1" t="str">
        <f>"QC"</f>
        <v>QC</v>
      </c>
      <c r="E584" s="1" t="str">
        <f>"Quebec"</f>
        <v>Quebec</v>
      </c>
      <c r="F584" s="1" t="str">
        <f>"Marc-Alexandre"</f>
        <v>Marc-Alexandre</v>
      </c>
      <c r="G584" s="1" t="str">
        <f>"Guérin"</f>
        <v>Guérin</v>
      </c>
      <c r="H584" s="1" t="str">
        <f>"0163304"</f>
        <v>0163304</v>
      </c>
      <c r="I584" s="1" t="str">
        <f t="shared" si="80"/>
        <v>M</v>
      </c>
      <c r="J584" s="2">
        <v>2004</v>
      </c>
      <c r="K584" s="1" t="str">
        <f>"2k+"</f>
        <v>2k+</v>
      </c>
      <c r="L584" s="1" t="str">
        <f t="shared" si="79"/>
        <v>U16</v>
      </c>
      <c r="M584" s="1" t="str">
        <f t="shared" si="81"/>
        <v>-55</v>
      </c>
      <c r="N584" s="1" t="str">
        <f>""</f>
        <v/>
      </c>
      <c r="O584" s="1">
        <v>1</v>
      </c>
      <c r="P584" s="1"/>
      <c r="Q584" t="s">
        <v>279</v>
      </c>
    </row>
    <row r="585" spans="1:17" x14ac:dyDescent="0.25">
      <c r="A585" t="str">
        <f>"2018-10-19 15:02:19"</f>
        <v>2018-10-19 15:02:19</v>
      </c>
      <c r="B585" s="1" t="str">
        <f>""</f>
        <v/>
      </c>
      <c r="C585" s="1" t="str">
        <f>"Trent University Judo Club"</f>
        <v>Trent University Judo Club</v>
      </c>
      <c r="D585" s="1" t="str">
        <f>"ON"</f>
        <v>ON</v>
      </c>
      <c r="E585" s="1" t="str">
        <f>"Ontario"</f>
        <v>Ontario</v>
      </c>
      <c r="F585" s="1" t="str">
        <f>"Porter"</f>
        <v>Porter</v>
      </c>
      <c r="G585" s="1" t="str">
        <f>"Guy"</f>
        <v>Guy</v>
      </c>
      <c r="H585" s="1" t="str">
        <f>"0182119"</f>
        <v>0182119</v>
      </c>
      <c r="I585" s="1" t="str">
        <f t="shared" si="80"/>
        <v>M</v>
      </c>
      <c r="J585" s="2">
        <v>2005</v>
      </c>
      <c r="K585" s="1" t="str">
        <f>"2k"</f>
        <v>2k</v>
      </c>
      <c r="L585" s="1" t="str">
        <f t="shared" si="79"/>
        <v>U16</v>
      </c>
      <c r="M585" s="1" t="str">
        <f t="shared" si="81"/>
        <v>-55</v>
      </c>
      <c r="N585" s="1" t="str">
        <f>""</f>
        <v/>
      </c>
      <c r="O585" s="1">
        <v>1</v>
      </c>
      <c r="P585" s="1"/>
      <c r="Q585" t="s">
        <v>279</v>
      </c>
    </row>
    <row r="586" spans="1:17" x14ac:dyDescent="0.25">
      <c r="A586" t="str">
        <f>"2018-10-17 22:45:22"</f>
        <v>2018-10-17 22:45:22</v>
      </c>
      <c r="B586" s="1" t="str">
        <f>""</f>
        <v/>
      </c>
      <c r="C586" s="1" t="str">
        <f>"Club de judo Métropolitain inc."</f>
        <v>Club de judo Métropolitain inc.</v>
      </c>
      <c r="D586" s="1" t="str">
        <f>"QC"</f>
        <v>QC</v>
      </c>
      <c r="E586" s="1" t="str">
        <f>"Quebec"</f>
        <v>Quebec</v>
      </c>
      <c r="F586" s="1" t="str">
        <f>"Wassim"</f>
        <v>Wassim</v>
      </c>
      <c r="G586" s="1" t="str">
        <f>"Issaad"</f>
        <v>Issaad</v>
      </c>
      <c r="H586" s="1" t="str">
        <f>"0183045"</f>
        <v>0183045</v>
      </c>
      <c r="I586" s="1" t="str">
        <f t="shared" si="80"/>
        <v>M</v>
      </c>
      <c r="J586" s="2">
        <v>2004</v>
      </c>
      <c r="K586" s="1" t="str">
        <f>"2k"</f>
        <v>2k</v>
      </c>
      <c r="L586" s="1" t="str">
        <f t="shared" si="79"/>
        <v>U16</v>
      </c>
      <c r="M586" s="1" t="str">
        <f t="shared" si="81"/>
        <v>-55</v>
      </c>
      <c r="N586" s="1" t="str">
        <f>""</f>
        <v/>
      </c>
      <c r="O586" s="1">
        <v>1</v>
      </c>
      <c r="P586" s="1"/>
      <c r="Q586" t="s">
        <v>279</v>
      </c>
    </row>
    <row r="587" spans="1:17" x14ac:dyDescent="0.25">
      <c r="A587" t="str">
        <f>"2018-10-20 12:09:39"</f>
        <v>2018-10-20 12:09:39</v>
      </c>
      <c r="B587" s="1" t="str">
        <f>""</f>
        <v/>
      </c>
      <c r="C587" s="1" t="str">
        <f>"Tsunami Martial Arts Club"</f>
        <v>Tsunami Martial Arts Club</v>
      </c>
      <c r="D587" s="1" t="str">
        <f>"ON"</f>
        <v>ON</v>
      </c>
      <c r="E587" s="1" t="str">
        <f>"Ontario"</f>
        <v>Ontario</v>
      </c>
      <c r="F587" s="1" t="str">
        <f>"Lenar"</f>
        <v>Lenar</v>
      </c>
      <c r="G587" s="1" t="str">
        <f>"Kamalov"</f>
        <v>Kamalov</v>
      </c>
      <c r="H587" s="1" t="str">
        <f>"0196802"</f>
        <v>0196802</v>
      </c>
      <c r="I587" s="1" t="str">
        <f t="shared" si="80"/>
        <v>M</v>
      </c>
      <c r="J587" s="2">
        <v>2005</v>
      </c>
      <c r="K587" s="1" t="str">
        <f>"2k"</f>
        <v>2k</v>
      </c>
      <c r="L587" s="1" t="str">
        <f t="shared" si="79"/>
        <v>U16</v>
      </c>
      <c r="M587" s="1" t="str">
        <f t="shared" si="81"/>
        <v>-55</v>
      </c>
      <c r="N587" s="1" t="str">
        <f>""</f>
        <v/>
      </c>
      <c r="O587" s="1">
        <v>1</v>
      </c>
      <c r="P587" s="1"/>
      <c r="Q587" t="s">
        <v>279</v>
      </c>
    </row>
    <row r="588" spans="1:17" x14ac:dyDescent="0.25">
      <c r="A588" t="str">
        <f>"2018-10-25 17:41:07"</f>
        <v>2018-10-25 17:41:07</v>
      </c>
      <c r="B588" s="1" t="str">
        <f>""</f>
        <v/>
      </c>
      <c r="C588" s="1" t="str">
        <f>"Académie de Judo de Sept-Iles Inc."</f>
        <v>Académie de Judo de Sept-Iles Inc.</v>
      </c>
      <c r="D588" s="1" t="str">
        <f>"QC"</f>
        <v>QC</v>
      </c>
      <c r="E588" s="1" t="str">
        <f>"Quebec"</f>
        <v>Quebec</v>
      </c>
      <c r="F588" s="1" t="str">
        <f>"Gabriel"</f>
        <v>Gabriel</v>
      </c>
      <c r="G588" s="1" t="str">
        <f>"Martin"</f>
        <v>Martin</v>
      </c>
      <c r="H588" s="1" t="str">
        <f>"0209309"</f>
        <v>0209309</v>
      </c>
      <c r="I588" s="1" t="str">
        <f t="shared" si="80"/>
        <v>M</v>
      </c>
      <c r="J588" s="2">
        <v>2005</v>
      </c>
      <c r="K588" s="1" t="str">
        <f>"2k"</f>
        <v>2k</v>
      </c>
      <c r="L588" s="1" t="str">
        <f t="shared" si="79"/>
        <v>U16</v>
      </c>
      <c r="M588" s="1" t="str">
        <f t="shared" si="81"/>
        <v>-55</v>
      </c>
      <c r="N588" s="1" t="str">
        <f>""</f>
        <v/>
      </c>
      <c r="O588" s="1">
        <v>1</v>
      </c>
      <c r="P588" s="1"/>
      <c r="Q588" t="s">
        <v>279</v>
      </c>
    </row>
    <row r="589" spans="1:17" x14ac:dyDescent="0.25">
      <c r="A589" t="str">
        <f>"2018-10-21 16:07:02"</f>
        <v>2018-10-21 16:07:02</v>
      </c>
      <c r="B589" s="1" t="str">
        <f>""</f>
        <v/>
      </c>
      <c r="C589" s="1" t="str">
        <f>"Upper Canada Judo Club"</f>
        <v>Upper Canada Judo Club</v>
      </c>
      <c r="D589" s="1" t="str">
        <f>"ON"</f>
        <v>ON</v>
      </c>
      <c r="E589" s="1" t="str">
        <f>"Ontario"</f>
        <v>Ontario</v>
      </c>
      <c r="F589" s="1" t="str">
        <f>"Owen"</f>
        <v>Owen</v>
      </c>
      <c r="G589" s="1" t="str">
        <f>"McMillan"</f>
        <v>McMillan</v>
      </c>
      <c r="H589" s="1" t="str">
        <f>"0216158"</f>
        <v>0216158</v>
      </c>
      <c r="I589" s="1" t="str">
        <f t="shared" si="80"/>
        <v>M</v>
      </c>
      <c r="J589" s="2">
        <v>2004</v>
      </c>
      <c r="K589" s="1" t="str">
        <f>"3k"</f>
        <v>3k</v>
      </c>
      <c r="L589" s="1" t="str">
        <f t="shared" si="79"/>
        <v>U16</v>
      </c>
      <c r="M589" s="1" t="str">
        <f t="shared" si="81"/>
        <v>-55</v>
      </c>
      <c r="N589" s="1" t="str">
        <f>""</f>
        <v/>
      </c>
      <c r="O589" s="1">
        <v>1</v>
      </c>
      <c r="P589" s="1"/>
      <c r="Q589" t="s">
        <v>279</v>
      </c>
    </row>
    <row r="590" spans="1:17" x14ac:dyDescent="0.25">
      <c r="A590" t="str">
        <f>"2018-10-20 12:09:39"</f>
        <v>2018-10-20 12:09:39</v>
      </c>
      <c r="B590" s="1" t="str">
        <f>""</f>
        <v/>
      </c>
      <c r="C590" s="1" t="str">
        <f>"Judo Blainville"</f>
        <v>Judo Blainville</v>
      </c>
      <c r="D590" s="1" t="str">
        <f>"QC"</f>
        <v>QC</v>
      </c>
      <c r="E590" s="1" t="str">
        <f>"Quebec"</f>
        <v>Quebec</v>
      </c>
      <c r="F590" s="1" t="str">
        <f>"Laurent"</f>
        <v>Laurent</v>
      </c>
      <c r="G590" s="1" t="str">
        <f>"Plamondon"</f>
        <v>Plamondon</v>
      </c>
      <c r="H590" s="1" t="str">
        <f>"0162568"</f>
        <v>0162568</v>
      </c>
      <c r="I590" s="1" t="str">
        <f t="shared" si="80"/>
        <v>M</v>
      </c>
      <c r="J590" s="2">
        <v>2004</v>
      </c>
      <c r="K590" s="1" t="str">
        <f>"2k"</f>
        <v>2k</v>
      </c>
      <c r="L590" s="1" t="str">
        <f t="shared" si="79"/>
        <v>U16</v>
      </c>
      <c r="M590" s="1" t="str">
        <f t="shared" si="81"/>
        <v>-55</v>
      </c>
      <c r="N590" s="1" t="str">
        <f>""</f>
        <v/>
      </c>
      <c r="O590" s="1">
        <v>1</v>
      </c>
      <c r="P590" s="1"/>
      <c r="Q590" t="s">
        <v>279</v>
      </c>
    </row>
    <row r="591" spans="1:17" x14ac:dyDescent="0.25">
      <c r="A591" t="str">
        <f>"2018-10-22 22:04:41"</f>
        <v>2018-10-22 22:04:41</v>
      </c>
      <c r="B591" s="1" t="str">
        <f>""</f>
        <v/>
      </c>
      <c r="C591" s="1" t="str">
        <f>"Dojo Perrot Shima"</f>
        <v>Dojo Perrot Shima</v>
      </c>
      <c r="D591" s="1" t="str">
        <f>"QC"</f>
        <v>QC</v>
      </c>
      <c r="E591" s="1" t="str">
        <f>"Quebec"</f>
        <v>Quebec</v>
      </c>
      <c r="F591" s="1" t="str">
        <f>"Skyler"</f>
        <v>Skyler</v>
      </c>
      <c r="G591" s="1" t="str">
        <f>"Proulx-Olson"</f>
        <v>Proulx-Olson</v>
      </c>
      <c r="H591" s="1" t="str">
        <f>"0177220"</f>
        <v>0177220</v>
      </c>
      <c r="I591" s="1" t="str">
        <f t="shared" si="80"/>
        <v>M</v>
      </c>
      <c r="J591" s="2">
        <v>2005</v>
      </c>
      <c r="K591" s="1" t="str">
        <f>"1k"</f>
        <v>1k</v>
      </c>
      <c r="L591" s="1" t="str">
        <f t="shared" si="79"/>
        <v>U16</v>
      </c>
      <c r="M591" s="1" t="str">
        <f t="shared" si="81"/>
        <v>-55</v>
      </c>
      <c r="N591" s="1" t="str">
        <f>""</f>
        <v/>
      </c>
      <c r="O591" s="1">
        <v>1</v>
      </c>
      <c r="P591" s="1"/>
      <c r="Q591" t="s">
        <v>279</v>
      </c>
    </row>
    <row r="592" spans="1:17" x14ac:dyDescent="0.25">
      <c r="A592" t="str">
        <f>"2018-10-21 20:07:10"</f>
        <v>2018-10-21 20:07:10</v>
      </c>
      <c r="B592" s="1" t="str">
        <f>""</f>
        <v/>
      </c>
      <c r="C592" s="1" t="str">
        <f>"Club de judo de la vieille capitale"</f>
        <v>Club de judo de la vieille capitale</v>
      </c>
      <c r="D592" s="1" t="str">
        <f>"QC"</f>
        <v>QC</v>
      </c>
      <c r="E592" s="1" t="str">
        <f>"Quebec"</f>
        <v>Quebec</v>
      </c>
      <c r="F592" s="1" t="str">
        <f>"Laurent"</f>
        <v>Laurent</v>
      </c>
      <c r="G592" s="1" t="str">
        <f>"Quiedeville"</f>
        <v>Quiedeville</v>
      </c>
      <c r="H592" s="1" t="str">
        <f>"0223465"</f>
        <v>0223465</v>
      </c>
      <c r="I592" s="1" t="str">
        <f t="shared" si="80"/>
        <v>M</v>
      </c>
      <c r="J592" s="2">
        <v>2005</v>
      </c>
      <c r="K592" s="1" t="str">
        <f>"2k+"</f>
        <v>2k+</v>
      </c>
      <c r="L592" s="1" t="str">
        <f t="shared" si="79"/>
        <v>U16</v>
      </c>
      <c r="M592" s="1" t="str">
        <f t="shared" si="81"/>
        <v>-55</v>
      </c>
      <c r="N592" s="1" t="str">
        <f>""</f>
        <v/>
      </c>
      <c r="O592" s="1">
        <v>1</v>
      </c>
      <c r="P592" s="1"/>
      <c r="Q592" t="s">
        <v>279</v>
      </c>
    </row>
    <row r="593" spans="1:17" x14ac:dyDescent="0.25">
      <c r="A593" t="str">
        <f>"2018-10-07 11:44:39"</f>
        <v>2018-10-07 11:44:39</v>
      </c>
      <c r="B593" s="1" t="str">
        <f>""</f>
        <v/>
      </c>
      <c r="C593" s="1" t="str">
        <f>"Challenge Sports Club"</f>
        <v>Challenge Sports Club</v>
      </c>
      <c r="D593" s="1" t="str">
        <f>"ON"</f>
        <v>ON</v>
      </c>
      <c r="E593" s="1" t="str">
        <f>"Ontario"</f>
        <v>Ontario</v>
      </c>
      <c r="F593" s="1" t="str">
        <f>"Binyamin"</f>
        <v>Binyamin</v>
      </c>
      <c r="G593" s="1" t="str">
        <f>"Soloveichik"</f>
        <v>Soloveichik</v>
      </c>
      <c r="H593" s="1" t="str">
        <f>"0203734"</f>
        <v>0203734</v>
      </c>
      <c r="I593" s="1" t="str">
        <f t="shared" si="80"/>
        <v>M</v>
      </c>
      <c r="J593" s="2">
        <v>2005</v>
      </c>
      <c r="K593" s="1" t="str">
        <f>"3k"</f>
        <v>3k</v>
      </c>
      <c r="L593" s="1" t="str">
        <f t="shared" si="79"/>
        <v>U16</v>
      </c>
      <c r="M593" s="1" t="str">
        <f t="shared" si="81"/>
        <v>-55</v>
      </c>
      <c r="N593" s="1" t="str">
        <f>""</f>
        <v/>
      </c>
      <c r="O593" s="1">
        <v>1</v>
      </c>
      <c r="P593" s="1"/>
      <c r="Q593" t="s">
        <v>279</v>
      </c>
    </row>
    <row r="594" spans="1:17" x14ac:dyDescent="0.25">
      <c r="A594" t="str">
        <f>"2018-10-17 20:15:37"</f>
        <v>2018-10-17 20:15:37</v>
      </c>
      <c r="B594" s="1" t="str">
        <f>""</f>
        <v/>
      </c>
      <c r="C594" s="1" t="str">
        <f>"Tech Judo"</f>
        <v>Tech Judo</v>
      </c>
      <c r="D594" s="1" t="s">
        <v>106</v>
      </c>
      <c r="E594" s="1" t="str">
        <f>"New Jersey"</f>
        <v>New Jersey</v>
      </c>
      <c r="F594" s="1" t="str">
        <f>"Natan"</f>
        <v>Natan</v>
      </c>
      <c r="G594" s="1" t="str">
        <f>"Tsyrlin"</f>
        <v>Tsyrlin</v>
      </c>
      <c r="H594" s="1" t="str">
        <f>"AutreFederation"</f>
        <v>AutreFederation</v>
      </c>
      <c r="I594" s="1" t="str">
        <f t="shared" si="80"/>
        <v>M</v>
      </c>
      <c r="J594" s="2">
        <v>2004</v>
      </c>
      <c r="K594" s="1" t="str">
        <f>"1k"</f>
        <v>1k</v>
      </c>
      <c r="L594" s="1" t="s">
        <v>111</v>
      </c>
      <c r="M594" s="1" t="str">
        <f t="shared" si="81"/>
        <v>-55</v>
      </c>
      <c r="N594" s="1" t="str">
        <f>""</f>
        <v/>
      </c>
      <c r="O594" s="1">
        <v>2</v>
      </c>
      <c r="P594" s="1"/>
      <c r="Q594" t="s">
        <v>279</v>
      </c>
    </row>
    <row r="595" spans="1:17" x14ac:dyDescent="0.25">
      <c r="A595" t="str">
        <f>"2018-10-20 12:09:39"</f>
        <v>2018-10-20 12:09:39</v>
      </c>
      <c r="B595" s="1" t="str">
        <f>""</f>
        <v/>
      </c>
      <c r="C595" s="1" t="str">
        <f>"Club de judo Shidokan inc."</f>
        <v>Club de judo Shidokan inc.</v>
      </c>
      <c r="D595" s="1" t="str">
        <f>"QC"</f>
        <v>QC</v>
      </c>
      <c r="E595" s="1" t="str">
        <f>"Quebec"</f>
        <v>Quebec</v>
      </c>
      <c r="F595" s="1" t="str">
        <f>"Idris"</f>
        <v>Idris</v>
      </c>
      <c r="G595" s="1" t="str">
        <f>"W.staszewski"</f>
        <v>W.staszewski</v>
      </c>
      <c r="H595" s="1" t="str">
        <f>"0181325"</f>
        <v>0181325</v>
      </c>
      <c r="I595" s="1" t="str">
        <f t="shared" si="80"/>
        <v>M</v>
      </c>
      <c r="J595" s="2">
        <v>2004</v>
      </c>
      <c r="K595" s="1" t="str">
        <f>"2k+"</f>
        <v>2k+</v>
      </c>
      <c r="L595" s="1" t="str">
        <f>"U16"</f>
        <v>U16</v>
      </c>
      <c r="M595" s="1" t="str">
        <f t="shared" si="81"/>
        <v>-55</v>
      </c>
      <c r="N595" s="1" t="str">
        <f>""</f>
        <v/>
      </c>
      <c r="O595" s="1">
        <v>1</v>
      </c>
      <c r="P595" s="1"/>
      <c r="Q595" t="s">
        <v>279</v>
      </c>
    </row>
    <row r="596" spans="1:17" x14ac:dyDescent="0.25">
      <c r="A596" t="str">
        <f>"2018-10-21 20:04:08"</f>
        <v>2018-10-21 20:04:08</v>
      </c>
      <c r="B596" s="1" t="str">
        <f>""</f>
        <v/>
      </c>
      <c r="C596" s="1" t="str">
        <f>"Club de judo Rouyn-Noranda"</f>
        <v>Club de judo Rouyn-Noranda</v>
      </c>
      <c r="D596" s="1" t="str">
        <f>"QC"</f>
        <v>QC</v>
      </c>
      <c r="E596" s="1" t="str">
        <f>"Quebec"</f>
        <v>Quebec</v>
      </c>
      <c r="F596" s="1" t="str">
        <f>"Yann"</f>
        <v>Yann</v>
      </c>
      <c r="G596" s="1" t="str">
        <f>"Warolin"</f>
        <v>Warolin</v>
      </c>
      <c r="H596" s="1" t="str">
        <f>"0235218"</f>
        <v>0235218</v>
      </c>
      <c r="I596" s="1" t="str">
        <f t="shared" si="80"/>
        <v>M</v>
      </c>
      <c r="J596" s="2">
        <v>2004</v>
      </c>
      <c r="K596" s="1" t="str">
        <f>"3k+"</f>
        <v>3k+</v>
      </c>
      <c r="L596" s="1" t="str">
        <f>"U16"</f>
        <v>U16</v>
      </c>
      <c r="M596" s="1" t="str">
        <f t="shared" si="81"/>
        <v>-55</v>
      </c>
      <c r="N596" s="1" t="str">
        <f>""</f>
        <v/>
      </c>
      <c r="O596" s="1">
        <v>1</v>
      </c>
      <c r="P596" s="1"/>
      <c r="Q596" t="s">
        <v>279</v>
      </c>
    </row>
    <row r="597" spans="1:17" x14ac:dyDescent="0.25">
      <c r="A597" t="str">
        <f>"2018-10-25 17:41:07"</f>
        <v>2018-10-25 17:41:07</v>
      </c>
      <c r="B597" s="1" t="str">
        <f>""</f>
        <v/>
      </c>
      <c r="C597" s="1" t="str">
        <f>"Taifu Judo Club"</f>
        <v>Taifu Judo Club</v>
      </c>
      <c r="D597" s="1" t="str">
        <f>"ON"</f>
        <v>ON</v>
      </c>
      <c r="E597" s="1" t="str">
        <f>"Ontario"</f>
        <v>Ontario</v>
      </c>
      <c r="F597" s="1" t="str">
        <f>"Johnathan"</f>
        <v>Johnathan</v>
      </c>
      <c r="G597" s="1" t="str">
        <f>"Xinkas"</f>
        <v>Xinkas</v>
      </c>
      <c r="H597" s="1" t="str">
        <f>"0192352"</f>
        <v>0192352</v>
      </c>
      <c r="I597" s="1" t="str">
        <f t="shared" si="80"/>
        <v>M</v>
      </c>
      <c r="J597" s="2">
        <v>2004</v>
      </c>
      <c r="K597" s="1" t="str">
        <f>"2k"</f>
        <v>2k</v>
      </c>
      <c r="L597" s="1" t="s">
        <v>111</v>
      </c>
      <c r="M597" s="1" t="str">
        <f t="shared" si="81"/>
        <v>-55</v>
      </c>
      <c r="N597" s="1" t="str">
        <f>""</f>
        <v/>
      </c>
      <c r="O597" s="1">
        <v>2</v>
      </c>
      <c r="P597" s="1"/>
      <c r="Q597" t="s">
        <v>279</v>
      </c>
    </row>
    <row r="598" spans="1:17" x14ac:dyDescent="0.25">
      <c r="A598" t="str">
        <f>"2018-10-25 17:41:07"</f>
        <v>2018-10-25 17:41:07</v>
      </c>
      <c r="B598" s="1" t="str">
        <f>""</f>
        <v/>
      </c>
      <c r="C598" s="1" t="str">
        <f>"Club de judo Shidokan inc."</f>
        <v>Club de judo Shidokan inc.</v>
      </c>
      <c r="D598" s="1" t="str">
        <f>"QC"</f>
        <v>QC</v>
      </c>
      <c r="E598" s="1" t="str">
        <f>"Quebec"</f>
        <v>Quebec</v>
      </c>
      <c r="F598" s="1" t="str">
        <f>"Léon"</f>
        <v>Léon</v>
      </c>
      <c r="G598" s="1" t="str">
        <f>"Zakaryan"</f>
        <v>Zakaryan</v>
      </c>
      <c r="H598" s="1" t="str">
        <f>"0222711"</f>
        <v>0222711</v>
      </c>
      <c r="I598" s="1" t="str">
        <f t="shared" si="80"/>
        <v>M</v>
      </c>
      <c r="J598" s="2">
        <v>2004</v>
      </c>
      <c r="K598" s="1" t="str">
        <f>"3k"</f>
        <v>3k</v>
      </c>
      <c r="L598" s="1" t="str">
        <f>"U16"</f>
        <v>U16</v>
      </c>
      <c r="M598" s="1" t="str">
        <f t="shared" si="81"/>
        <v>-55</v>
      </c>
      <c r="N598" s="1" t="str">
        <f>""</f>
        <v/>
      </c>
      <c r="O598" s="1">
        <v>1</v>
      </c>
      <c r="P598" s="1"/>
      <c r="Q598" t="s">
        <v>279</v>
      </c>
    </row>
    <row r="599" spans="1:17" x14ac:dyDescent="0.25">
      <c r="A599" t="str">
        <f>"2018-10-14 19:46:54"</f>
        <v>2018-10-14 19:46:54</v>
      </c>
      <c r="B599" s="1" t="str">
        <f>""</f>
        <v/>
      </c>
      <c r="C599" s="1" t="str">
        <f>"Skelley Judo"</f>
        <v>Skelley Judo</v>
      </c>
      <c r="D599" s="1" t="s">
        <v>106</v>
      </c>
      <c r="E599" s="1" t="str">
        <f>"New York/ USA"</f>
        <v>New York/ USA</v>
      </c>
      <c r="F599" s="1" t="str">
        <f>"Raelyn"</f>
        <v>Raelyn</v>
      </c>
      <c r="G599" s="1" t="str">
        <f>"Adorno"</f>
        <v>Adorno</v>
      </c>
      <c r="H599" s="1" t="str">
        <f>"AutreFederation"</f>
        <v>AutreFederation</v>
      </c>
      <c r="I599" s="1" t="str">
        <f t="shared" ref="I599:I614" si="82">"F"</f>
        <v>F</v>
      </c>
      <c r="J599" s="2">
        <v>2004</v>
      </c>
      <c r="K599" s="1" t="str">
        <f>"2k"</f>
        <v>2k</v>
      </c>
      <c r="L599" s="1" t="s">
        <v>111</v>
      </c>
      <c r="M599" s="1" t="str">
        <f t="shared" ref="M599:M614" si="83">"-57"</f>
        <v>-57</v>
      </c>
      <c r="N599" s="1" t="str">
        <f>"57"</f>
        <v>57</v>
      </c>
      <c r="O599" s="1">
        <v>2</v>
      </c>
      <c r="P599" s="1"/>
      <c r="Q599" t="s">
        <v>280</v>
      </c>
    </row>
    <row r="600" spans="1:17" x14ac:dyDescent="0.25">
      <c r="A600" t="str">
        <f>"2018-10-21 21:18:51"</f>
        <v>2018-10-21 21:18:51</v>
      </c>
      <c r="B600" s="1" t="str">
        <f>""</f>
        <v/>
      </c>
      <c r="C600" s="1" t="str">
        <f>"Club de Judo d'Asbestos-Danville"</f>
        <v>Club de Judo d'Asbestos-Danville</v>
      </c>
      <c r="D600" s="1" t="str">
        <f>"QC"</f>
        <v>QC</v>
      </c>
      <c r="E600" s="1" t="str">
        <f>"Quebec"</f>
        <v>Quebec</v>
      </c>
      <c r="F600" s="1" t="str">
        <f>"Sophie"</f>
        <v>Sophie</v>
      </c>
      <c r="G600" s="1" t="str">
        <f>"Arnold"</f>
        <v>Arnold</v>
      </c>
      <c r="H600" s="1" t="str">
        <f>"0214410"</f>
        <v>0214410</v>
      </c>
      <c r="I600" s="1" t="str">
        <f t="shared" si="82"/>
        <v>F</v>
      </c>
      <c r="J600" s="2">
        <v>2005</v>
      </c>
      <c r="K600" s="1" t="str">
        <f>"3k"</f>
        <v>3k</v>
      </c>
      <c r="L600" s="1" t="str">
        <f t="shared" ref="L600:L609" si="84">"U16"</f>
        <v>U16</v>
      </c>
      <c r="M600" s="1" t="str">
        <f t="shared" si="83"/>
        <v>-57</v>
      </c>
      <c r="N600" s="1" t="str">
        <f>""</f>
        <v/>
      </c>
      <c r="O600" s="1">
        <v>1</v>
      </c>
      <c r="P600" s="1"/>
      <c r="Q600" t="s">
        <v>280</v>
      </c>
    </row>
    <row r="601" spans="1:17" x14ac:dyDescent="0.25">
      <c r="A601" t="str">
        <f>"2018-10-13 22:01:51"</f>
        <v>2018-10-13 22:01:51</v>
      </c>
      <c r="B601" s="1" t="str">
        <f>""</f>
        <v/>
      </c>
      <c r="C601" s="1" t="str">
        <f>"Club de judo Saint-Hyacinthe Inc."</f>
        <v>Club de judo Saint-Hyacinthe Inc.</v>
      </c>
      <c r="D601" s="1" t="str">
        <f>"QC"</f>
        <v>QC</v>
      </c>
      <c r="E601" s="1" t="str">
        <f>"Quebec"</f>
        <v>Quebec</v>
      </c>
      <c r="F601" s="1" t="str">
        <f>"Alyssa"</f>
        <v>Alyssa</v>
      </c>
      <c r="G601" s="1" t="str">
        <f>"Bellavance"</f>
        <v>Bellavance</v>
      </c>
      <c r="H601" s="1" t="str">
        <f>"0208366"</f>
        <v>0208366</v>
      </c>
      <c r="I601" s="1" t="str">
        <f t="shared" si="82"/>
        <v>F</v>
      </c>
      <c r="J601" s="2">
        <v>2005</v>
      </c>
      <c r="K601" s="1" t="str">
        <f>"3k"</f>
        <v>3k</v>
      </c>
      <c r="L601" s="1" t="str">
        <f t="shared" si="84"/>
        <v>U16</v>
      </c>
      <c r="M601" s="1" t="str">
        <f t="shared" si="83"/>
        <v>-57</v>
      </c>
      <c r="N601" s="1" t="str">
        <f>""</f>
        <v/>
      </c>
      <c r="O601" s="1">
        <v>1</v>
      </c>
      <c r="P601" s="1"/>
      <c r="Q601" t="s">
        <v>280</v>
      </c>
    </row>
    <row r="602" spans="1:17" x14ac:dyDescent="0.25">
      <c r="A602" t="str">
        <f>"2018-10-22 19:58:55"</f>
        <v>2018-10-22 19:58:55</v>
      </c>
      <c r="B602" s="1" t="str">
        <f>""</f>
        <v/>
      </c>
      <c r="C602" s="1" t="str">
        <f>"Lloydminster Judo Club"</f>
        <v>Lloydminster Judo Club</v>
      </c>
      <c r="D602" s="1" t="str">
        <f>"SK"</f>
        <v>SK</v>
      </c>
      <c r="E602" s="1" t="str">
        <f>"Saskatchewan"</f>
        <v>Saskatchewan</v>
      </c>
      <c r="F602" s="1" t="str">
        <f>"Brooklyn"</f>
        <v>Brooklyn</v>
      </c>
      <c r="G602" s="1" t="str">
        <f>"Bloch-Hansen"</f>
        <v>Bloch-Hansen</v>
      </c>
      <c r="H602" s="1" t="str">
        <f>"0196728"</f>
        <v>0196728</v>
      </c>
      <c r="I602" s="1" t="str">
        <f t="shared" si="82"/>
        <v>F</v>
      </c>
      <c r="J602" s="2">
        <v>2004</v>
      </c>
      <c r="K602" s="1" t="str">
        <f>"2k"</f>
        <v>2k</v>
      </c>
      <c r="L602" s="1" t="str">
        <f t="shared" si="84"/>
        <v>U16</v>
      </c>
      <c r="M602" s="1" t="str">
        <f t="shared" si="83"/>
        <v>-57</v>
      </c>
      <c r="N602" s="1" t="str">
        <f>""</f>
        <v/>
      </c>
      <c r="O602" s="1">
        <v>1</v>
      </c>
      <c r="P602" s="1"/>
      <c r="Q602" t="s">
        <v>280</v>
      </c>
    </row>
    <row r="603" spans="1:17" x14ac:dyDescent="0.25">
      <c r="A603" t="str">
        <f>"2018-10-19 17:01:23"</f>
        <v>2018-10-19 17:01:23</v>
      </c>
      <c r="B603" s="1" t="str">
        <f>""</f>
        <v/>
      </c>
      <c r="C603" s="1" t="str">
        <f>"Club de judo de Varennes"</f>
        <v>Club de judo de Varennes</v>
      </c>
      <c r="D603" s="1" t="str">
        <f>"QC"</f>
        <v>QC</v>
      </c>
      <c r="E603" s="1" t="str">
        <f>"Quebec"</f>
        <v>Quebec</v>
      </c>
      <c r="F603" s="1" t="str">
        <f>"Rose"</f>
        <v>Rose</v>
      </c>
      <c r="G603" s="1" t="str">
        <f>"Bolte"</f>
        <v>Bolte</v>
      </c>
      <c r="H603" s="1" t="str">
        <f>"0196930"</f>
        <v>0196930</v>
      </c>
      <c r="I603" s="1" t="str">
        <f t="shared" si="82"/>
        <v>F</v>
      </c>
      <c r="J603" s="2">
        <v>2004</v>
      </c>
      <c r="K603" s="1" t="str">
        <f>"2k"</f>
        <v>2k</v>
      </c>
      <c r="L603" s="1" t="str">
        <f t="shared" si="84"/>
        <v>U16</v>
      </c>
      <c r="M603" s="1" t="str">
        <f t="shared" si="83"/>
        <v>-57</v>
      </c>
      <c r="N603" s="1" t="str">
        <f>""</f>
        <v/>
      </c>
      <c r="O603" s="1">
        <v>1</v>
      </c>
      <c r="P603" s="1"/>
      <c r="Q603" t="s">
        <v>280</v>
      </c>
    </row>
    <row r="604" spans="1:17" x14ac:dyDescent="0.25">
      <c r="A604" t="str">
        <f>"2018-10-14 19:28:19"</f>
        <v>2018-10-14 19:28:19</v>
      </c>
      <c r="B604" s="1" t="str">
        <f>""</f>
        <v/>
      </c>
      <c r="C604" s="1" t="str">
        <f>"Upper Canada Judo Club"</f>
        <v>Upper Canada Judo Club</v>
      </c>
      <c r="D604" s="1" t="str">
        <f>"ON"</f>
        <v>ON</v>
      </c>
      <c r="E604" s="1" t="str">
        <f>"Ontario"</f>
        <v>Ontario</v>
      </c>
      <c r="F604" s="1" t="str">
        <f>"Kiera"</f>
        <v>Kiera</v>
      </c>
      <c r="G604" s="1" t="str">
        <f>"Burt"</f>
        <v>Burt</v>
      </c>
      <c r="H604" s="1" t="str">
        <f>"0180255"</f>
        <v>0180255</v>
      </c>
      <c r="I604" s="1" t="str">
        <f t="shared" si="82"/>
        <v>F</v>
      </c>
      <c r="J604" s="2">
        <v>2005</v>
      </c>
      <c r="K604" s="1" t="str">
        <f>"2k"</f>
        <v>2k</v>
      </c>
      <c r="L604" s="1" t="str">
        <f t="shared" si="84"/>
        <v>U16</v>
      </c>
      <c r="M604" s="1" t="str">
        <f t="shared" si="83"/>
        <v>-57</v>
      </c>
      <c r="N604" s="1" t="str">
        <f>""</f>
        <v/>
      </c>
      <c r="O604" s="1">
        <v>1</v>
      </c>
      <c r="P604" s="1"/>
      <c r="Q604" t="s">
        <v>280</v>
      </c>
    </row>
    <row r="605" spans="1:17" x14ac:dyDescent="0.25">
      <c r="A605" t="str">
        <f>"2018-10-19 22:18:47"</f>
        <v>2018-10-19 22:18:47</v>
      </c>
      <c r="B605" s="1" t="str">
        <f>""</f>
        <v/>
      </c>
      <c r="C605" s="1" t="str">
        <f>"Club de judo Saint-Hyacinthe Inc."</f>
        <v>Club de judo Saint-Hyacinthe Inc.</v>
      </c>
      <c r="D605" s="1" t="str">
        <f>"QC"</f>
        <v>QC</v>
      </c>
      <c r="E605" s="1" t="str">
        <f>"Quebec"</f>
        <v>Quebec</v>
      </c>
      <c r="F605" s="1" t="str">
        <f>"Marguerite"</f>
        <v>Marguerite</v>
      </c>
      <c r="G605" s="1" t="str">
        <f>"Champagne"</f>
        <v>Champagne</v>
      </c>
      <c r="H605" s="1" t="str">
        <f>"0208371"</f>
        <v>0208371</v>
      </c>
      <c r="I605" s="1" t="str">
        <f t="shared" si="82"/>
        <v>F</v>
      </c>
      <c r="J605" s="2">
        <v>2005</v>
      </c>
      <c r="K605" s="1" t="str">
        <f>"3k"</f>
        <v>3k</v>
      </c>
      <c r="L605" s="1" t="str">
        <f t="shared" si="84"/>
        <v>U16</v>
      </c>
      <c r="M605" s="1" t="str">
        <f t="shared" si="83"/>
        <v>-57</v>
      </c>
      <c r="N605" s="1" t="str">
        <f>""</f>
        <v/>
      </c>
      <c r="O605" s="1">
        <v>1</v>
      </c>
      <c r="P605" s="1"/>
      <c r="Q605" t="s">
        <v>280</v>
      </c>
    </row>
    <row r="606" spans="1:17" x14ac:dyDescent="0.25">
      <c r="A606" t="str">
        <f>"2018-10-11 12:45:52"</f>
        <v>2018-10-11 12:45:52</v>
      </c>
      <c r="B606" s="1" t="str">
        <f>""</f>
        <v/>
      </c>
      <c r="C606" s="1" t="str">
        <f>"Club de judo St-Paul l'Ermite"</f>
        <v>Club de judo St-Paul l'Ermite</v>
      </c>
      <c r="D606" s="1" t="str">
        <f>"QC"</f>
        <v>QC</v>
      </c>
      <c r="E606" s="1" t="str">
        <f>"Quebec"</f>
        <v>Quebec</v>
      </c>
      <c r="F606" s="1" t="str">
        <f>"Adele"</f>
        <v>Adele</v>
      </c>
      <c r="G606" s="1" t="str">
        <f>"Charneau"</f>
        <v>Charneau</v>
      </c>
      <c r="H606" s="1" t="str">
        <f>"0189040"</f>
        <v>0189040</v>
      </c>
      <c r="I606" s="1" t="str">
        <f t="shared" si="82"/>
        <v>F</v>
      </c>
      <c r="J606" s="2">
        <v>2005</v>
      </c>
      <c r="K606" s="1" t="str">
        <f>"2k"</f>
        <v>2k</v>
      </c>
      <c r="L606" s="1" t="str">
        <f t="shared" si="84"/>
        <v>U16</v>
      </c>
      <c r="M606" s="1" t="str">
        <f t="shared" si="83"/>
        <v>-57</v>
      </c>
      <c r="N606" s="1" t="str">
        <f>""</f>
        <v/>
      </c>
      <c r="O606" s="1">
        <v>1</v>
      </c>
      <c r="P606" s="1"/>
      <c r="Q606" t="s">
        <v>280</v>
      </c>
    </row>
    <row r="607" spans="1:17" x14ac:dyDescent="0.25">
      <c r="A607" t="str">
        <f>"2018-10-11 12:45:52"</f>
        <v>2018-10-11 12:45:52</v>
      </c>
      <c r="B607" s="1" t="str">
        <f>""</f>
        <v/>
      </c>
      <c r="C607" s="1" t="str">
        <f>"Selkirk Judo Club"</f>
        <v>Selkirk Judo Club</v>
      </c>
      <c r="D607" s="1" t="str">
        <f>"MB"</f>
        <v>MB</v>
      </c>
      <c r="E607" s="1" t="str">
        <f>"Manitoba"</f>
        <v>Manitoba</v>
      </c>
      <c r="F607" s="1" t="str">
        <f>"Sarah"</f>
        <v>Sarah</v>
      </c>
      <c r="G607" s="1" t="str">
        <f>"Ekosky"</f>
        <v>Ekosky</v>
      </c>
      <c r="H607" s="1" t="str">
        <f>"0169713"</f>
        <v>0169713</v>
      </c>
      <c r="I607" s="1" t="str">
        <f t="shared" si="82"/>
        <v>F</v>
      </c>
      <c r="J607" s="2">
        <v>2004</v>
      </c>
      <c r="K607" s="1" t="str">
        <f>"2k"</f>
        <v>2k</v>
      </c>
      <c r="L607" s="1" t="str">
        <f t="shared" si="84"/>
        <v>U16</v>
      </c>
      <c r="M607" s="1" t="str">
        <f t="shared" si="83"/>
        <v>-57</v>
      </c>
      <c r="N607" s="1" t="str">
        <f>""</f>
        <v/>
      </c>
      <c r="O607" s="1">
        <v>1</v>
      </c>
      <c r="P607" s="1"/>
      <c r="Q607" t="s">
        <v>280</v>
      </c>
    </row>
    <row r="608" spans="1:17" x14ac:dyDescent="0.25">
      <c r="A608" t="str">
        <f>"2018-10-05 22:58:16"</f>
        <v>2018-10-05 22:58:16</v>
      </c>
      <c r="B608" s="1" t="str">
        <f>""</f>
        <v/>
      </c>
      <c r="C608" s="1" t="str">
        <f>"Pedro's Judo National Team Force"</f>
        <v>Pedro's Judo National Team Force</v>
      </c>
      <c r="D608" s="1" t="s">
        <v>106</v>
      </c>
      <c r="E608" s="1" t="str">
        <f>"new hampshire"</f>
        <v>new hampshire</v>
      </c>
      <c r="F608" s="1" t="str">
        <f>"Skylar"</f>
        <v>Skylar</v>
      </c>
      <c r="G608" s="1" t="str">
        <f>"Hattendorf"</f>
        <v>Hattendorf</v>
      </c>
      <c r="H608" s="1" t="str">
        <f>"AutreFederation"</f>
        <v>AutreFederation</v>
      </c>
      <c r="I608" s="1" t="str">
        <f t="shared" si="82"/>
        <v>F</v>
      </c>
      <c r="J608" s="2">
        <v>2004</v>
      </c>
      <c r="K608" s="1" t="str">
        <f>"1k"</f>
        <v>1k</v>
      </c>
      <c r="L608" s="1" t="str">
        <f t="shared" si="84"/>
        <v>U16</v>
      </c>
      <c r="M608" s="1" t="str">
        <f t="shared" si="83"/>
        <v>-57</v>
      </c>
      <c r="N608" s="1" t="str">
        <f>""</f>
        <v/>
      </c>
      <c r="O608" s="1">
        <v>1</v>
      </c>
      <c r="P608" s="1"/>
      <c r="Q608" t="s">
        <v>280</v>
      </c>
    </row>
    <row r="609" spans="1:17" x14ac:dyDescent="0.25">
      <c r="A609" t="str">
        <f>"2018-10-19 22:22:42"</f>
        <v>2018-10-19 22:22:42</v>
      </c>
      <c r="B609" s="1" t="str">
        <f>""</f>
        <v/>
      </c>
      <c r="C609" s="1" t="str">
        <f>"Club de judo Shidokan inc."</f>
        <v>Club de judo Shidokan inc.</v>
      </c>
      <c r="D609" s="1" t="str">
        <f>"QC"</f>
        <v>QC</v>
      </c>
      <c r="E609" s="1" t="str">
        <f>"Quebec"</f>
        <v>Quebec</v>
      </c>
      <c r="F609" s="1" t="str">
        <f>"Leonarda"</f>
        <v>Leonarda</v>
      </c>
      <c r="G609" s="1" t="str">
        <f>"Horak"</f>
        <v>Horak</v>
      </c>
      <c r="H609" s="1" t="str">
        <f>"0196147"</f>
        <v>0196147</v>
      </c>
      <c r="I609" s="1" t="str">
        <f t="shared" si="82"/>
        <v>F</v>
      </c>
      <c r="J609" s="2">
        <v>2004</v>
      </c>
      <c r="K609" s="1" t="str">
        <f>"1k"</f>
        <v>1k</v>
      </c>
      <c r="L609" s="1" t="str">
        <f t="shared" si="84"/>
        <v>U16</v>
      </c>
      <c r="M609" s="1" t="str">
        <f t="shared" si="83"/>
        <v>-57</v>
      </c>
      <c r="N609" s="1" t="str">
        <f>""</f>
        <v/>
      </c>
      <c r="O609" s="1">
        <v>1</v>
      </c>
      <c r="P609" s="1"/>
      <c r="Q609" t="s">
        <v>280</v>
      </c>
    </row>
    <row r="610" spans="1:17" x14ac:dyDescent="0.25">
      <c r="A610" t="str">
        <f>"2018-10-14 19:28:19"</f>
        <v>2018-10-14 19:28:19</v>
      </c>
      <c r="B610" s="1" t="str">
        <f>""</f>
        <v/>
      </c>
      <c r="C610" s="1" t="str">
        <f>"Hoku Sei Kan Judo Club"</f>
        <v>Hoku Sei Kan Judo Club</v>
      </c>
      <c r="D610" s="1" t="str">
        <f>"AB"</f>
        <v>AB</v>
      </c>
      <c r="E610" s="1" t="str">
        <f>"Alberta"</f>
        <v>Alberta</v>
      </c>
      <c r="F610" s="1" t="str">
        <f>"Sydney"</f>
        <v>Sydney</v>
      </c>
      <c r="G610" s="1" t="str">
        <f>"Kinderwater"</f>
        <v>Kinderwater</v>
      </c>
      <c r="H610" s="1" t="str">
        <f>"0190640"</f>
        <v>0190640</v>
      </c>
      <c r="I610" s="1" t="str">
        <f t="shared" si="82"/>
        <v>F</v>
      </c>
      <c r="J610" s="2">
        <v>2004</v>
      </c>
      <c r="K610" s="1" t="str">
        <f>"3k"</f>
        <v>3k</v>
      </c>
      <c r="L610" s="1" t="s">
        <v>111</v>
      </c>
      <c r="M610" s="1" t="str">
        <f t="shared" si="83"/>
        <v>-57</v>
      </c>
      <c r="N610" s="1" t="str">
        <f>""</f>
        <v/>
      </c>
      <c r="O610" s="1">
        <v>2</v>
      </c>
      <c r="P610" s="1"/>
      <c r="Q610" t="s">
        <v>280</v>
      </c>
    </row>
    <row r="611" spans="1:17" x14ac:dyDescent="0.25">
      <c r="A611" t="str">
        <f>"2018-10-19 22:22:42"</f>
        <v>2018-10-19 22:22:42</v>
      </c>
      <c r="B611" s="1" t="str">
        <f>""</f>
        <v/>
      </c>
      <c r="C611" s="1" t="str">
        <f>"Dojo Zenshin"</f>
        <v>Dojo Zenshin</v>
      </c>
      <c r="D611" s="1" t="str">
        <f>"QC"</f>
        <v>QC</v>
      </c>
      <c r="E611" s="1" t="str">
        <f>"Quebec"</f>
        <v>Quebec</v>
      </c>
      <c r="F611" s="1" t="str">
        <f>"Oceanne"</f>
        <v>Oceanne</v>
      </c>
      <c r="G611" s="1" t="str">
        <f>"Labelle"</f>
        <v>Labelle</v>
      </c>
      <c r="H611" s="1" t="str">
        <f>"0214613"</f>
        <v>0214613</v>
      </c>
      <c r="I611" s="1" t="str">
        <f t="shared" si="82"/>
        <v>F</v>
      </c>
      <c r="J611" s="2">
        <v>2004</v>
      </c>
      <c r="K611" s="1" t="str">
        <f>"3k"</f>
        <v>3k</v>
      </c>
      <c r="L611" s="1" t="str">
        <f t="shared" ref="L611:L616" si="85">"U16"</f>
        <v>U16</v>
      </c>
      <c r="M611" s="1" t="str">
        <f t="shared" si="83"/>
        <v>-57</v>
      </c>
      <c r="N611" s="1" t="str">
        <f>""</f>
        <v/>
      </c>
      <c r="O611" s="1">
        <v>1</v>
      </c>
      <c r="P611" s="1"/>
      <c r="Q611" t="s">
        <v>280</v>
      </c>
    </row>
    <row r="612" spans="1:17" x14ac:dyDescent="0.25">
      <c r="A612" t="str">
        <f>"2018-10-19 17:01:23"</f>
        <v>2018-10-19 17:01:23</v>
      </c>
      <c r="B612" s="1" t="str">
        <f>""</f>
        <v/>
      </c>
      <c r="C612" s="1" t="str">
        <f>"Burnaby Judo Club"</f>
        <v>Burnaby Judo Club</v>
      </c>
      <c r="D612" s="1" t="str">
        <f>"BC"</f>
        <v>BC</v>
      </c>
      <c r="E612" s="1" t="str">
        <f>"British Columbia"</f>
        <v>British Columbia</v>
      </c>
      <c r="F612" s="1" t="str">
        <f>"Zoe"</f>
        <v>Zoe</v>
      </c>
      <c r="G612" s="1" t="str">
        <f>"Lee"</f>
        <v>Lee</v>
      </c>
      <c r="H612" s="1" t="str">
        <f>"0198684"</f>
        <v>0198684</v>
      </c>
      <c r="I612" s="1" t="str">
        <f t="shared" si="82"/>
        <v>F</v>
      </c>
      <c r="J612" s="2">
        <v>2005</v>
      </c>
      <c r="K612" s="1" t="str">
        <f>"3k"</f>
        <v>3k</v>
      </c>
      <c r="L612" s="1" t="str">
        <f t="shared" si="85"/>
        <v>U16</v>
      </c>
      <c r="M612" s="1" t="str">
        <f t="shared" si="83"/>
        <v>-57</v>
      </c>
      <c r="N612" s="1" t="str">
        <f>""</f>
        <v/>
      </c>
      <c r="O612" s="1">
        <v>1</v>
      </c>
      <c r="P612" s="1"/>
      <c r="Q612" t="s">
        <v>280</v>
      </c>
    </row>
    <row r="613" spans="1:17" x14ac:dyDescent="0.25">
      <c r="A613" t="str">
        <f>"2018-10-10 18:24:02"</f>
        <v>2018-10-10 18:24:02</v>
      </c>
      <c r="B613" s="1" t="str">
        <f>""</f>
        <v/>
      </c>
      <c r="C613" s="1" t="str">
        <f>"Club de Judo Shawinigan"</f>
        <v>Club de Judo Shawinigan</v>
      </c>
      <c r="D613" s="1" t="str">
        <f>"QC"</f>
        <v>QC</v>
      </c>
      <c r="E613" s="1" t="str">
        <f>"Quebec"</f>
        <v>Quebec</v>
      </c>
      <c r="F613" s="1" t="str">
        <f>"Elysabeth"</f>
        <v>Elysabeth</v>
      </c>
      <c r="G613" s="1" t="str">
        <f>"Lefebvre"</f>
        <v>Lefebvre</v>
      </c>
      <c r="H613" s="1" t="str">
        <f>"0203864"</f>
        <v>0203864</v>
      </c>
      <c r="I613" s="1" t="str">
        <f t="shared" si="82"/>
        <v>F</v>
      </c>
      <c r="J613" s="2">
        <v>2004</v>
      </c>
      <c r="K613" s="1" t="str">
        <f>"3k+"</f>
        <v>3k+</v>
      </c>
      <c r="L613" s="1" t="str">
        <f t="shared" si="85"/>
        <v>U16</v>
      </c>
      <c r="M613" s="1" t="str">
        <f t="shared" si="83"/>
        <v>-57</v>
      </c>
      <c r="N613" s="1" t="str">
        <f>""</f>
        <v/>
      </c>
      <c r="O613" s="1">
        <v>1</v>
      </c>
      <c r="P613" s="1"/>
      <c r="Q613" t="s">
        <v>280</v>
      </c>
    </row>
    <row r="614" spans="1:17" x14ac:dyDescent="0.25">
      <c r="A614" t="str">
        <f>"2018-10-20 21:59:19"</f>
        <v>2018-10-20 21:59:19</v>
      </c>
      <c r="B614" s="1" t="str">
        <f>""</f>
        <v/>
      </c>
      <c r="C614" s="1" t="str">
        <f>"Jackpine Judo Club"</f>
        <v>Jackpine Judo Club</v>
      </c>
      <c r="D614" s="1" t="str">
        <f>"ON"</f>
        <v>ON</v>
      </c>
      <c r="E614" s="1" t="str">
        <f>"Ontario"</f>
        <v>Ontario</v>
      </c>
      <c r="F614" s="1" t="str">
        <f>"Meadow"</f>
        <v>Meadow</v>
      </c>
      <c r="G614" s="1" t="str">
        <f>"MacDonald"</f>
        <v>MacDonald</v>
      </c>
      <c r="H614" s="1" t="str">
        <f>"0222307"</f>
        <v>0222307</v>
      </c>
      <c r="I614" s="1" t="str">
        <f t="shared" si="82"/>
        <v>F</v>
      </c>
      <c r="J614" s="2">
        <v>2004</v>
      </c>
      <c r="K614" s="8" t="s">
        <v>21</v>
      </c>
      <c r="L614" s="1" t="str">
        <f t="shared" si="85"/>
        <v>U16</v>
      </c>
      <c r="M614" s="1" t="str">
        <f t="shared" si="83"/>
        <v>-57</v>
      </c>
      <c r="N614" s="1" t="str">
        <f>""</f>
        <v/>
      </c>
      <c r="O614" s="1">
        <v>1</v>
      </c>
      <c r="P614" s="1"/>
      <c r="Q614" t="s">
        <v>280</v>
      </c>
    </row>
    <row r="615" spans="1:17" x14ac:dyDescent="0.25">
      <c r="A615" t="str">
        <f>"2018-10-18 11:33:08"</f>
        <v>2018-10-18 11:33:08</v>
      </c>
      <c r="B615" s="1" t="str">
        <f>""</f>
        <v/>
      </c>
      <c r="C615" s="1" t="str">
        <f>"Dojo Perrot Shima"</f>
        <v>Dojo Perrot Shima</v>
      </c>
      <c r="D615" s="1" t="str">
        <f>"QC"</f>
        <v>QC</v>
      </c>
      <c r="E615" s="1" t="str">
        <f>"Quebec"</f>
        <v>Quebec</v>
      </c>
      <c r="F615" s="1" t="str">
        <f>"Andrey"</f>
        <v>Andrey</v>
      </c>
      <c r="G615" s="1" t="str">
        <f>"Ambartsumov"</f>
        <v>Ambartsumov</v>
      </c>
      <c r="H615" s="1" t="str">
        <f>"0176544"</f>
        <v>0176544</v>
      </c>
      <c r="I615" s="1" t="str">
        <f t="shared" ref="I615:I646" si="86">"M"</f>
        <v>M</v>
      </c>
      <c r="J615" s="2">
        <v>2005</v>
      </c>
      <c r="K615" s="1" t="str">
        <f>"3k"</f>
        <v>3k</v>
      </c>
      <c r="L615" s="1" t="str">
        <f t="shared" si="85"/>
        <v>U16</v>
      </c>
      <c r="M615" s="1" t="str">
        <f t="shared" ref="M615:M646" si="87">"-60"</f>
        <v>-60</v>
      </c>
      <c r="N615" s="1" t="str">
        <f>""</f>
        <v/>
      </c>
      <c r="O615" s="1">
        <v>1</v>
      </c>
      <c r="P615" s="1"/>
      <c r="Q615" t="s">
        <v>281</v>
      </c>
    </row>
    <row r="616" spans="1:17" x14ac:dyDescent="0.25">
      <c r="A616" t="str">
        <f>"2018-10-19 15:01:43"</f>
        <v>2018-10-19 15:01:43</v>
      </c>
      <c r="B616" s="1" t="str">
        <f>""</f>
        <v/>
      </c>
      <c r="C616" s="1" t="str">
        <f>"Club de judo Métropolitain inc."</f>
        <v>Club de judo Métropolitain inc.</v>
      </c>
      <c r="D616" s="1" t="str">
        <f>"QC"</f>
        <v>QC</v>
      </c>
      <c r="E616" s="1" t="str">
        <f>"Quebec"</f>
        <v>Quebec</v>
      </c>
      <c r="F616" s="1" t="str">
        <f>"Yanis"</f>
        <v>Yanis</v>
      </c>
      <c r="G616" s="1" t="str">
        <f>"Amrouci"</f>
        <v>Amrouci</v>
      </c>
      <c r="H616" s="1" t="str">
        <f>"0191629"</f>
        <v>0191629</v>
      </c>
      <c r="I616" s="1" t="str">
        <f t="shared" si="86"/>
        <v>M</v>
      </c>
      <c r="J616" s="2">
        <v>2005</v>
      </c>
      <c r="K616" s="1" t="str">
        <f>"2k"</f>
        <v>2k</v>
      </c>
      <c r="L616" s="1" t="str">
        <f t="shared" si="85"/>
        <v>U16</v>
      </c>
      <c r="M616" s="1" t="str">
        <f t="shared" si="87"/>
        <v>-60</v>
      </c>
      <c r="N616" s="1" t="str">
        <f>""</f>
        <v/>
      </c>
      <c r="O616" s="1">
        <v>1</v>
      </c>
      <c r="P616" s="1"/>
      <c r="Q616" t="s">
        <v>281</v>
      </c>
    </row>
    <row r="617" spans="1:17" x14ac:dyDescent="0.25">
      <c r="A617" t="str">
        <f>"2018-10-21 19:13:09"</f>
        <v>2018-10-21 19:13:09</v>
      </c>
      <c r="B617" s="1" t="str">
        <f>""</f>
        <v/>
      </c>
      <c r="C617" s="1" t="str">
        <f>"Club de judo Torakai"</f>
        <v>Club de judo Torakai</v>
      </c>
      <c r="D617" s="1" t="str">
        <f>"QC"</f>
        <v>QC</v>
      </c>
      <c r="E617" s="1" t="str">
        <f>"Quebec"</f>
        <v>Quebec</v>
      </c>
      <c r="F617" s="1" t="str">
        <f>"Guillaume"</f>
        <v>Guillaume</v>
      </c>
      <c r="G617" s="1" t="str">
        <f>"Auclair"</f>
        <v>Auclair</v>
      </c>
      <c r="H617" s="1" t="str">
        <f>"0199411"</f>
        <v>0199411</v>
      </c>
      <c r="I617" s="1" t="str">
        <f t="shared" si="86"/>
        <v>M</v>
      </c>
      <c r="J617" s="2">
        <v>2004</v>
      </c>
      <c r="K617" s="1" t="str">
        <f>"1k"</f>
        <v>1k</v>
      </c>
      <c r="L617" s="1" t="s">
        <v>111</v>
      </c>
      <c r="M617" s="1" t="str">
        <f t="shared" si="87"/>
        <v>-60</v>
      </c>
      <c r="N617" s="1" t="str">
        <f>""</f>
        <v/>
      </c>
      <c r="O617" s="1">
        <v>2</v>
      </c>
      <c r="P617" s="1"/>
      <c r="Q617" t="s">
        <v>281</v>
      </c>
    </row>
    <row r="618" spans="1:17" x14ac:dyDescent="0.25">
      <c r="A618" t="str">
        <f>"2018-10-16 13:43:57"</f>
        <v>2018-10-16 13:43:57</v>
      </c>
      <c r="B618" s="1" t="str">
        <f>""</f>
        <v/>
      </c>
      <c r="C618" s="1" t="str">
        <f>"Club de judo Seiko"</f>
        <v>Club de judo Seiko</v>
      </c>
      <c r="D618" s="1" t="str">
        <f>"QC"</f>
        <v>QC</v>
      </c>
      <c r="E618" s="1" t="str">
        <f>"Quebec"</f>
        <v>Quebec</v>
      </c>
      <c r="F618" s="1" t="str">
        <f>"Frédéric"</f>
        <v>Frédéric</v>
      </c>
      <c r="G618" s="1" t="str">
        <f>"Boudreault"</f>
        <v>Boudreault</v>
      </c>
      <c r="H618" s="1" t="str">
        <f>"0188153"</f>
        <v>0188153</v>
      </c>
      <c r="I618" s="1" t="str">
        <f t="shared" si="86"/>
        <v>M</v>
      </c>
      <c r="J618" s="2">
        <v>2005</v>
      </c>
      <c r="K618" s="1" t="str">
        <f>"3k"</f>
        <v>3k</v>
      </c>
      <c r="L618" s="1" t="str">
        <f>"U16"</f>
        <v>U16</v>
      </c>
      <c r="M618" s="1" t="str">
        <f t="shared" si="87"/>
        <v>-60</v>
      </c>
      <c r="N618" s="1" t="str">
        <f>""</f>
        <v/>
      </c>
      <c r="O618" s="1">
        <v>1</v>
      </c>
      <c r="P618" s="1"/>
      <c r="Q618" t="s">
        <v>281</v>
      </c>
    </row>
    <row r="619" spans="1:17" x14ac:dyDescent="0.25">
      <c r="A619" t="str">
        <f>"2018-10-21 22:00:15"</f>
        <v>2018-10-21 22:00:15</v>
      </c>
      <c r="B619" s="1" t="str">
        <f>""</f>
        <v/>
      </c>
      <c r="C619" s="1" t="str">
        <f>"Club de judo Albatros Inc."</f>
        <v>Club de judo Albatros Inc.</v>
      </c>
      <c r="D619" s="1" t="str">
        <f>"QC"</f>
        <v>QC</v>
      </c>
      <c r="E619" s="1" t="str">
        <f>"Quebec"</f>
        <v>Quebec</v>
      </c>
      <c r="F619" s="1" t="str">
        <f>"Charles-Etienne"</f>
        <v>Charles-Etienne</v>
      </c>
      <c r="G619" s="1" t="str">
        <f>"Boulianne"</f>
        <v>Boulianne</v>
      </c>
      <c r="H619" s="1" t="str">
        <f>"0181068"</f>
        <v>0181068</v>
      </c>
      <c r="I619" s="1" t="str">
        <f t="shared" si="86"/>
        <v>M</v>
      </c>
      <c r="J619" s="2">
        <v>2005</v>
      </c>
      <c r="K619" s="1" t="str">
        <f>"2k"</f>
        <v>2k</v>
      </c>
      <c r="L619" s="1" t="str">
        <f>"U16"</f>
        <v>U16</v>
      </c>
      <c r="M619" s="1" t="str">
        <f t="shared" si="87"/>
        <v>-60</v>
      </c>
      <c r="N619" s="1" t="str">
        <f>""</f>
        <v/>
      </c>
      <c r="O619" s="1">
        <v>1</v>
      </c>
      <c r="P619" s="1"/>
      <c r="Q619" t="s">
        <v>281</v>
      </c>
    </row>
    <row r="620" spans="1:17" x14ac:dyDescent="0.25">
      <c r="A620" t="str">
        <f>"2018-10-14 16:02:37"</f>
        <v>2018-10-14 16:02:37</v>
      </c>
      <c r="B620" s="1" t="str">
        <f>""</f>
        <v/>
      </c>
      <c r="C620" s="1" t="str">
        <f>"Regina Y"</f>
        <v>Regina Y</v>
      </c>
      <c r="D620" s="1" t="str">
        <f>"SK"</f>
        <v>SK</v>
      </c>
      <c r="E620" s="1" t="str">
        <f>"Saskatchewan"</f>
        <v>Saskatchewan</v>
      </c>
      <c r="F620" s="1" t="str">
        <f>"Nathaniel"</f>
        <v>Nathaniel</v>
      </c>
      <c r="G620" s="1" t="str">
        <f>"Burton"</f>
        <v>Burton</v>
      </c>
      <c r="H620" s="1" t="str">
        <f>"0181763"</f>
        <v>0181763</v>
      </c>
      <c r="I620" s="1" t="str">
        <f t="shared" si="86"/>
        <v>M</v>
      </c>
      <c r="J620" s="2">
        <v>2004</v>
      </c>
      <c r="K620" s="1" t="str">
        <f>"2k+"</f>
        <v>2k+</v>
      </c>
      <c r="L620" s="1" t="s">
        <v>111</v>
      </c>
      <c r="M620" s="1" t="str">
        <f t="shared" si="87"/>
        <v>-60</v>
      </c>
      <c r="N620" s="1" t="str">
        <f>""</f>
        <v/>
      </c>
      <c r="O620" s="1">
        <v>2</v>
      </c>
      <c r="P620" s="1"/>
      <c r="Q620" t="s">
        <v>281</v>
      </c>
    </row>
    <row r="621" spans="1:17" x14ac:dyDescent="0.25">
      <c r="A621" t="str">
        <f>"2018-10-17 09:45:10"</f>
        <v>2018-10-17 09:45:10</v>
      </c>
      <c r="B621" s="1" t="str">
        <f>""</f>
        <v/>
      </c>
      <c r="C621" s="1" t="str">
        <f>"Judo Nunavut"</f>
        <v>Judo Nunavut</v>
      </c>
      <c r="D621" s="1" t="str">
        <f>"NU"</f>
        <v>NU</v>
      </c>
      <c r="E621" s="1" t="str">
        <f>"Nunavut"</f>
        <v>Nunavut</v>
      </c>
      <c r="F621" s="1" t="str">
        <f>"Rocco"</f>
        <v>Rocco</v>
      </c>
      <c r="G621" s="1" t="str">
        <f>"Canil"</f>
        <v>Canil</v>
      </c>
      <c r="H621" s="1" t="str">
        <f>"0194571"</f>
        <v>0194571</v>
      </c>
      <c r="I621" s="1" t="str">
        <f t="shared" si="86"/>
        <v>M</v>
      </c>
      <c r="J621" s="2">
        <v>2004</v>
      </c>
      <c r="K621" s="1" t="str">
        <f>"3k"</f>
        <v>3k</v>
      </c>
      <c r="L621" s="1" t="str">
        <f>"U16"</f>
        <v>U16</v>
      </c>
      <c r="M621" s="1" t="str">
        <f t="shared" si="87"/>
        <v>-60</v>
      </c>
      <c r="N621" s="1" t="str">
        <f>""</f>
        <v/>
      </c>
      <c r="O621" s="1">
        <v>1</v>
      </c>
      <c r="P621" s="1"/>
      <c r="Q621" t="s">
        <v>281</v>
      </c>
    </row>
    <row r="622" spans="1:17" x14ac:dyDescent="0.25">
      <c r="A622" t="str">
        <f>"2018-10-25 17:11:27"</f>
        <v>2018-10-25 17:11:27</v>
      </c>
      <c r="B622" s="1" t="str">
        <f>""</f>
        <v/>
      </c>
      <c r="C622" s="1" t="str">
        <f>"Toronto Judo Kai"</f>
        <v>Toronto Judo Kai</v>
      </c>
      <c r="D622" s="1" t="str">
        <f>"ON"</f>
        <v>ON</v>
      </c>
      <c r="E622" s="1" t="str">
        <f>"Ontario"</f>
        <v>Ontario</v>
      </c>
      <c r="F622" s="1" t="str">
        <f>"Alexander"</f>
        <v>Alexander</v>
      </c>
      <c r="G622" s="1" t="str">
        <f>"Chirokov"</f>
        <v>Chirokov</v>
      </c>
      <c r="H622" s="1" t="str">
        <f>"0184026"</f>
        <v>0184026</v>
      </c>
      <c r="I622" s="1" t="str">
        <f t="shared" si="86"/>
        <v>M</v>
      </c>
      <c r="J622" s="2">
        <v>2005</v>
      </c>
      <c r="K622" s="1" t="str">
        <f>"3k+"</f>
        <v>3k+</v>
      </c>
      <c r="L622" s="1" t="str">
        <f>"U16"</f>
        <v>U16</v>
      </c>
      <c r="M622" s="1" t="str">
        <f t="shared" si="87"/>
        <v>-60</v>
      </c>
      <c r="N622" s="1" t="str">
        <f>""</f>
        <v/>
      </c>
      <c r="O622" s="1">
        <v>1</v>
      </c>
      <c r="P622" s="1"/>
      <c r="Q622" t="s">
        <v>281</v>
      </c>
    </row>
    <row r="623" spans="1:17" x14ac:dyDescent="0.25">
      <c r="A623" t="str">
        <f>"2018-10-24 18:53:11"</f>
        <v>2018-10-24 18:53:11</v>
      </c>
      <c r="B623" s="1" t="str">
        <f>""</f>
        <v/>
      </c>
      <c r="C623" s="1" t="str">
        <f>"Académie de Judo de Sept-Iles Inc."</f>
        <v>Académie de Judo de Sept-Iles Inc.</v>
      </c>
      <c r="D623" s="1" t="str">
        <f>"QC"</f>
        <v>QC</v>
      </c>
      <c r="E623" s="1" t="str">
        <f>"Quebec"</f>
        <v>Quebec</v>
      </c>
      <c r="F623" s="1" t="str">
        <f>"Zachary"</f>
        <v>Zachary</v>
      </c>
      <c r="G623" s="1" t="str">
        <f>"Cyr"</f>
        <v>Cyr</v>
      </c>
      <c r="H623" s="1" t="str">
        <f>"0145831"</f>
        <v>0145831</v>
      </c>
      <c r="I623" s="1" t="str">
        <f t="shared" si="86"/>
        <v>M</v>
      </c>
      <c r="J623" s="2">
        <v>2004</v>
      </c>
      <c r="K623" s="1" t="str">
        <f>"1k"</f>
        <v>1k</v>
      </c>
      <c r="L623" s="1" t="str">
        <f>"U16"</f>
        <v>U16</v>
      </c>
      <c r="M623" s="1" t="str">
        <f t="shared" si="87"/>
        <v>-60</v>
      </c>
      <c r="N623" s="1" t="str">
        <f>""</f>
        <v/>
      </c>
      <c r="O623" s="1">
        <v>1</v>
      </c>
      <c r="P623" s="1"/>
      <c r="Q623" t="s">
        <v>281</v>
      </c>
    </row>
    <row r="624" spans="1:17" x14ac:dyDescent="0.25">
      <c r="A624" t="str">
        <f>"2018-09-25 19:39:31"</f>
        <v>2018-09-25 19:39:31</v>
      </c>
      <c r="B624" s="1" t="str">
        <f>""</f>
        <v/>
      </c>
      <c r="C624" s="1" t="str">
        <f>"Club judokas Jonquière inc."</f>
        <v>Club judokas Jonquière inc.</v>
      </c>
      <c r="D624" s="1" t="str">
        <f>"QC"</f>
        <v>QC</v>
      </c>
      <c r="E624" s="1" t="str">
        <f>"Quebec"</f>
        <v>Quebec</v>
      </c>
      <c r="F624" s="1" t="str">
        <f>"Victor"</f>
        <v>Victor</v>
      </c>
      <c r="G624" s="1" t="str">
        <f>"Dessureault"</f>
        <v>Dessureault</v>
      </c>
      <c r="H624" s="1" t="str">
        <f>"0192159"</f>
        <v>0192159</v>
      </c>
      <c r="I624" s="1" t="str">
        <f t="shared" si="86"/>
        <v>M</v>
      </c>
      <c r="J624" s="2">
        <v>2004</v>
      </c>
      <c r="K624" s="1" t="str">
        <f>"1k"</f>
        <v>1k</v>
      </c>
      <c r="L624" s="1" t="s">
        <v>111</v>
      </c>
      <c r="M624" s="1" t="str">
        <f t="shared" si="87"/>
        <v>-60</v>
      </c>
      <c r="N624" s="1" t="str">
        <f>""</f>
        <v/>
      </c>
      <c r="O624" s="1">
        <v>2</v>
      </c>
      <c r="P624" s="1"/>
      <c r="Q624" t="s">
        <v>281</v>
      </c>
    </row>
    <row r="625" spans="1:17" x14ac:dyDescent="0.25">
      <c r="A625" t="str">
        <f>"2018-10-24 19:58:06"</f>
        <v>2018-10-24 19:58:06</v>
      </c>
      <c r="B625" s="1" t="str">
        <f>""</f>
        <v/>
      </c>
      <c r="C625" s="1" t="str">
        <f>"Burnaby Judo Club"</f>
        <v>Burnaby Judo Club</v>
      </c>
      <c r="D625" s="1" t="str">
        <f>"BC"</f>
        <v>BC</v>
      </c>
      <c r="E625" s="1" t="str">
        <f>"British Columbia"</f>
        <v>British Columbia</v>
      </c>
      <c r="F625" s="1" t="str">
        <f>"Raphael"</f>
        <v>Raphael</v>
      </c>
      <c r="G625" s="1" t="str">
        <f>"Gaanan"</f>
        <v>Gaanan</v>
      </c>
      <c r="H625" s="1" t="str">
        <f>"0198609"</f>
        <v>0198609</v>
      </c>
      <c r="I625" s="1" t="str">
        <f t="shared" si="86"/>
        <v>M</v>
      </c>
      <c r="J625" s="2">
        <v>2005</v>
      </c>
      <c r="K625" s="1" t="str">
        <f>"2k"</f>
        <v>2k</v>
      </c>
      <c r="L625" s="1" t="str">
        <f t="shared" ref="L625:L633" si="88">"U16"</f>
        <v>U16</v>
      </c>
      <c r="M625" s="1" t="str">
        <f t="shared" si="87"/>
        <v>-60</v>
      </c>
      <c r="N625" s="1" t="str">
        <f>""</f>
        <v/>
      </c>
      <c r="O625" s="1">
        <v>1</v>
      </c>
      <c r="P625" s="1"/>
      <c r="Q625" t="s">
        <v>281</v>
      </c>
    </row>
    <row r="626" spans="1:17" x14ac:dyDescent="0.25">
      <c r="A626" t="str">
        <f>"2018-10-21 07:57:22"</f>
        <v>2018-10-21 07:57:22</v>
      </c>
      <c r="B626" s="1" t="str">
        <f>""</f>
        <v/>
      </c>
      <c r="C626" s="1" t="str">
        <f>"Club de judo St-Jean Bosco de Hull"</f>
        <v>Club de judo St-Jean Bosco de Hull</v>
      </c>
      <c r="D626" s="1" t="str">
        <f>"QC"</f>
        <v>QC</v>
      </c>
      <c r="E626" s="1" t="str">
        <f>"Quebec"</f>
        <v>Quebec</v>
      </c>
      <c r="F626" s="1" t="str">
        <f>"Lucca"</f>
        <v>Lucca</v>
      </c>
      <c r="G626" s="1" t="str">
        <f>"Gorbachuk"</f>
        <v>Gorbachuk</v>
      </c>
      <c r="H626" s="1" t="str">
        <f>"0183200"</f>
        <v>0183200</v>
      </c>
      <c r="I626" s="1" t="str">
        <f t="shared" si="86"/>
        <v>M</v>
      </c>
      <c r="J626" s="2">
        <v>2004</v>
      </c>
      <c r="K626" s="1" t="str">
        <f>"2k"</f>
        <v>2k</v>
      </c>
      <c r="L626" s="1" t="str">
        <f t="shared" si="88"/>
        <v>U16</v>
      </c>
      <c r="M626" s="1" t="str">
        <f t="shared" si="87"/>
        <v>-60</v>
      </c>
      <c r="N626" s="1" t="str">
        <f>""</f>
        <v/>
      </c>
      <c r="O626" s="1">
        <v>1</v>
      </c>
      <c r="P626" s="1"/>
      <c r="Q626" t="s">
        <v>281</v>
      </c>
    </row>
    <row r="627" spans="1:17" x14ac:dyDescent="0.25">
      <c r="A627" t="str">
        <f>"2018-10-17 21:58:29"</f>
        <v>2018-10-17 21:58:29</v>
      </c>
      <c r="B627" s="1" t="str">
        <f>""</f>
        <v/>
      </c>
      <c r="C627" s="1" t="str">
        <f>"Paineiras do Morumby"</f>
        <v>Paineiras do Morumby</v>
      </c>
      <c r="D627" s="1" t="s">
        <v>164</v>
      </c>
      <c r="E627" s="1" t="str">
        <f>"Brazil"</f>
        <v>Brazil</v>
      </c>
      <c r="F627" s="1" t="str">
        <f>"Francisco"</f>
        <v>Francisco</v>
      </c>
      <c r="G627" s="1" t="str">
        <f>"Gorguhlo"</f>
        <v>Gorguhlo</v>
      </c>
      <c r="H627" s="1" t="str">
        <f>"AutreFederation"</f>
        <v>AutreFederation</v>
      </c>
      <c r="I627" s="1" t="str">
        <f t="shared" si="86"/>
        <v>M</v>
      </c>
      <c r="J627" s="2">
        <v>2005</v>
      </c>
      <c r="K627" s="1" t="str">
        <f>"3k"</f>
        <v>3k</v>
      </c>
      <c r="L627" s="1" t="str">
        <f t="shared" si="88"/>
        <v>U16</v>
      </c>
      <c r="M627" s="1" t="str">
        <f t="shared" si="87"/>
        <v>-60</v>
      </c>
      <c r="N627" s="1" t="str">
        <f>""</f>
        <v/>
      </c>
      <c r="O627" s="1">
        <v>1</v>
      </c>
      <c r="P627" s="1"/>
      <c r="Q627" t="s">
        <v>281</v>
      </c>
    </row>
    <row r="628" spans="1:17" x14ac:dyDescent="0.25">
      <c r="A628" t="str">
        <f>"2018-10-14 16:02:37"</f>
        <v>2018-10-14 16:02:37</v>
      </c>
      <c r="B628" s="1" t="str">
        <f>""</f>
        <v/>
      </c>
      <c r="C628" s="1" t="str">
        <f>"Swift Current"</f>
        <v>Swift Current</v>
      </c>
      <c r="D628" s="1" t="str">
        <f>"SK"</f>
        <v>SK</v>
      </c>
      <c r="E628" s="1" t="str">
        <f>"Saskatchewan"</f>
        <v>Saskatchewan</v>
      </c>
      <c r="F628" s="1" t="str">
        <f>"Conner"</f>
        <v>Conner</v>
      </c>
      <c r="G628" s="1" t="str">
        <f>"Hammer"</f>
        <v>Hammer</v>
      </c>
      <c r="H628" s="1" t="str">
        <f>"0199053"</f>
        <v>0199053</v>
      </c>
      <c r="I628" s="1" t="str">
        <f t="shared" si="86"/>
        <v>M</v>
      </c>
      <c r="J628" s="2">
        <v>2004</v>
      </c>
      <c r="K628" s="1" t="str">
        <f>"3k"</f>
        <v>3k</v>
      </c>
      <c r="L628" s="1" t="str">
        <f t="shared" si="88"/>
        <v>U16</v>
      </c>
      <c r="M628" s="1" t="str">
        <f t="shared" si="87"/>
        <v>-60</v>
      </c>
      <c r="N628" s="1" t="str">
        <f>""</f>
        <v/>
      </c>
      <c r="O628" s="1">
        <v>1</v>
      </c>
      <c r="P628" s="1"/>
      <c r="Q628" t="s">
        <v>281</v>
      </c>
    </row>
    <row r="629" spans="1:17" x14ac:dyDescent="0.25">
      <c r="A629" t="str">
        <f>"2018-10-20 21:44:46"</f>
        <v>2018-10-20 21:44:46</v>
      </c>
      <c r="B629" s="1" t="str">
        <f>""</f>
        <v/>
      </c>
      <c r="C629" s="1" t="str">
        <f>"Ottawa Judo Club"</f>
        <v>Ottawa Judo Club</v>
      </c>
      <c r="D629" s="1" t="str">
        <f>"ON"</f>
        <v>ON</v>
      </c>
      <c r="E629" s="1" t="str">
        <f>"Ontario"</f>
        <v>Ontario</v>
      </c>
      <c r="F629" s="1" t="str">
        <f>"Colin"</f>
        <v>Colin</v>
      </c>
      <c r="G629" s="1" t="str">
        <f>"Kieu"</f>
        <v>Kieu</v>
      </c>
      <c r="H629" s="1" t="str">
        <f>"0170714"</f>
        <v>0170714</v>
      </c>
      <c r="I629" s="1" t="str">
        <f t="shared" si="86"/>
        <v>M</v>
      </c>
      <c r="J629" s="2">
        <v>2005</v>
      </c>
      <c r="K629" s="1" t="str">
        <f>"2k"</f>
        <v>2k</v>
      </c>
      <c r="L629" s="1" t="str">
        <f t="shared" si="88"/>
        <v>U16</v>
      </c>
      <c r="M629" s="1" t="str">
        <f t="shared" si="87"/>
        <v>-60</v>
      </c>
      <c r="N629" s="1" t="str">
        <f>""</f>
        <v/>
      </c>
      <c r="O629" s="1">
        <v>1</v>
      </c>
      <c r="P629" s="1"/>
      <c r="Q629" t="s">
        <v>281</v>
      </c>
    </row>
    <row r="630" spans="1:17" x14ac:dyDescent="0.25">
      <c r="A630" t="str">
        <f>"2018-10-19 18:30:02"</f>
        <v>2018-10-19 18:30:02</v>
      </c>
      <c r="B630" s="1" t="str">
        <f>""</f>
        <v/>
      </c>
      <c r="C630" s="1" t="str">
        <f>"Judo Blainville"</f>
        <v>Judo Blainville</v>
      </c>
      <c r="D630" s="1" t="str">
        <f>"QC"</f>
        <v>QC</v>
      </c>
      <c r="E630" s="1" t="str">
        <f>"Quebec"</f>
        <v>Quebec</v>
      </c>
      <c r="F630" s="1" t="str">
        <f>"Cedric"</f>
        <v>Cedric</v>
      </c>
      <c r="G630" s="1" t="str">
        <f>"Lanouette"</f>
        <v>Lanouette</v>
      </c>
      <c r="H630" s="1" t="str">
        <f>"0206689"</f>
        <v>0206689</v>
      </c>
      <c r="I630" s="1" t="str">
        <f t="shared" si="86"/>
        <v>M</v>
      </c>
      <c r="J630" s="2">
        <v>2004</v>
      </c>
      <c r="K630" s="1" t="str">
        <f>"2k"</f>
        <v>2k</v>
      </c>
      <c r="L630" s="1" t="str">
        <f t="shared" si="88"/>
        <v>U16</v>
      </c>
      <c r="M630" s="1" t="str">
        <f t="shared" si="87"/>
        <v>-60</v>
      </c>
      <c r="N630" s="1" t="str">
        <f>""</f>
        <v/>
      </c>
      <c r="O630" s="1">
        <v>1</v>
      </c>
      <c r="P630" s="1"/>
      <c r="Q630" t="s">
        <v>281</v>
      </c>
    </row>
    <row r="631" spans="1:17" x14ac:dyDescent="0.25">
      <c r="A631" t="str">
        <f>"2018-10-21 18:36:24"</f>
        <v>2018-10-21 18:36:24</v>
      </c>
      <c r="B631" s="1" t="str">
        <f>""</f>
        <v/>
      </c>
      <c r="C631" s="1" t="str">
        <f>"Club de judo Olympique"</f>
        <v>Club de judo Olympique</v>
      </c>
      <c r="D631" s="1" t="str">
        <f>"QC"</f>
        <v>QC</v>
      </c>
      <c r="E631" s="1" t="str">
        <f>"Quebec"</f>
        <v>Quebec</v>
      </c>
      <c r="F631" s="1" t="str">
        <f>"Olivier"</f>
        <v>Olivier</v>
      </c>
      <c r="G631" s="1" t="str">
        <f>"Legault"</f>
        <v>Legault</v>
      </c>
      <c r="H631" s="1" t="str">
        <f>"0189014"</f>
        <v>0189014</v>
      </c>
      <c r="I631" s="1" t="str">
        <f t="shared" si="86"/>
        <v>M</v>
      </c>
      <c r="J631" s="2">
        <v>2004</v>
      </c>
      <c r="K631" s="1" t="str">
        <f>"1k"</f>
        <v>1k</v>
      </c>
      <c r="L631" s="1" t="str">
        <f t="shared" si="88"/>
        <v>U16</v>
      </c>
      <c r="M631" s="1" t="str">
        <f t="shared" si="87"/>
        <v>-60</v>
      </c>
      <c r="N631" s="1" t="str">
        <f>""</f>
        <v/>
      </c>
      <c r="O631" s="1">
        <v>1</v>
      </c>
      <c r="P631" s="1"/>
      <c r="Q631" t="s">
        <v>281</v>
      </c>
    </row>
    <row r="632" spans="1:17" x14ac:dyDescent="0.25">
      <c r="A632" t="str">
        <f>"2018-10-19 18:30:02"</f>
        <v>2018-10-19 18:30:02</v>
      </c>
      <c r="B632" s="1" t="str">
        <f>""</f>
        <v/>
      </c>
      <c r="C632" s="1" t="str">
        <f>"Judo Otoshi Dieppe"</f>
        <v>Judo Otoshi Dieppe</v>
      </c>
      <c r="D632" s="1" t="str">
        <f>"NB"</f>
        <v>NB</v>
      </c>
      <c r="E632" s="1" t="str">
        <f>"New Brunswick"</f>
        <v>New Brunswick</v>
      </c>
      <c r="F632" s="1" t="str">
        <f>"Lucas"</f>
        <v>Lucas</v>
      </c>
      <c r="G632" s="1" t="str">
        <f>"Lemaire"</f>
        <v>Lemaire</v>
      </c>
      <c r="H632" s="1" t="str">
        <f>"0220788"</f>
        <v>0220788</v>
      </c>
      <c r="I632" s="1" t="str">
        <f t="shared" si="86"/>
        <v>M</v>
      </c>
      <c r="J632" s="2">
        <v>2004</v>
      </c>
      <c r="K632" s="1" t="str">
        <f>"3k"</f>
        <v>3k</v>
      </c>
      <c r="L632" s="1" t="str">
        <f t="shared" si="88"/>
        <v>U16</v>
      </c>
      <c r="M632" s="1" t="str">
        <f t="shared" si="87"/>
        <v>-60</v>
      </c>
      <c r="N632" s="1" t="str">
        <f>""</f>
        <v/>
      </c>
      <c r="O632" s="1">
        <v>1</v>
      </c>
      <c r="P632" s="1"/>
      <c r="Q632" t="s">
        <v>281</v>
      </c>
    </row>
    <row r="633" spans="1:17" x14ac:dyDescent="0.25">
      <c r="A633" t="str">
        <f>"2018-10-22 00:05:17"</f>
        <v>2018-10-22 00:05:17</v>
      </c>
      <c r="B633" s="1" t="str">
        <f>""</f>
        <v/>
      </c>
      <c r="C633" s="1" t="str">
        <f>"Club de judo St-Jean Bosco de Hull"</f>
        <v>Club de judo St-Jean Bosco de Hull</v>
      </c>
      <c r="D633" s="1" t="str">
        <f>"QC"</f>
        <v>QC</v>
      </c>
      <c r="E633" s="1" t="str">
        <f>"Quebec"</f>
        <v>Quebec</v>
      </c>
      <c r="F633" s="1" t="str">
        <f>"Noah"</f>
        <v>Noah</v>
      </c>
      <c r="G633" s="1" t="str">
        <f>"Moorjani-Houle"</f>
        <v>Moorjani-Houle</v>
      </c>
      <c r="H633" s="1" t="str">
        <f>"0152630"</f>
        <v>0152630</v>
      </c>
      <c r="I633" s="1" t="str">
        <f t="shared" si="86"/>
        <v>M</v>
      </c>
      <c r="J633" s="2">
        <v>2004</v>
      </c>
      <c r="K633" s="1" t="str">
        <f>"2k"</f>
        <v>2k</v>
      </c>
      <c r="L633" s="1" t="str">
        <f t="shared" si="88"/>
        <v>U16</v>
      </c>
      <c r="M633" s="1" t="str">
        <f t="shared" si="87"/>
        <v>-60</v>
      </c>
      <c r="N633" s="1" t="str">
        <f>""</f>
        <v/>
      </c>
      <c r="O633" s="1">
        <v>1</v>
      </c>
      <c r="P633" s="1"/>
      <c r="Q633" t="s">
        <v>281</v>
      </c>
    </row>
    <row r="634" spans="1:17" x14ac:dyDescent="0.25">
      <c r="A634" t="str">
        <f>"2018-10-10 10:02:02"</f>
        <v>2018-10-10 10:02:02</v>
      </c>
      <c r="B634" s="1" t="str">
        <f>""</f>
        <v/>
      </c>
      <c r="C634" s="1" t="str">
        <f>"Takahashi Dojo"</f>
        <v>Takahashi Dojo</v>
      </c>
      <c r="D634" s="1" t="str">
        <f>"ON"</f>
        <v>ON</v>
      </c>
      <c r="E634" s="1" t="str">
        <f>"Ontario"</f>
        <v>Ontario</v>
      </c>
      <c r="F634" s="1" t="str">
        <f>"Finn"</f>
        <v>Finn</v>
      </c>
      <c r="G634" s="1" t="str">
        <f>"Nakamura"</f>
        <v>Nakamura</v>
      </c>
      <c r="H634" s="1" t="str">
        <f>"0198447"</f>
        <v>0198447</v>
      </c>
      <c r="I634" s="1" t="str">
        <f t="shared" si="86"/>
        <v>M</v>
      </c>
      <c r="J634" s="2">
        <v>2004</v>
      </c>
      <c r="K634" s="1" t="str">
        <f>"1k"</f>
        <v>1k</v>
      </c>
      <c r="L634" s="1" t="s">
        <v>111</v>
      </c>
      <c r="M634" s="1" t="str">
        <f t="shared" si="87"/>
        <v>-60</v>
      </c>
      <c r="N634" s="1" t="str">
        <f>""</f>
        <v/>
      </c>
      <c r="O634" s="1">
        <v>2</v>
      </c>
      <c r="P634" s="1"/>
      <c r="Q634" t="s">
        <v>281</v>
      </c>
    </row>
    <row r="635" spans="1:17" x14ac:dyDescent="0.25">
      <c r="A635" t="str">
        <f>"2018-10-26 10:58:00"</f>
        <v>2018-10-26 10:58:00</v>
      </c>
      <c r="B635" s="1" t="str">
        <f>""</f>
        <v/>
      </c>
      <c r="C635" s="1" t="str">
        <f>"Club de Judo d'Asbestos-Danville"</f>
        <v>Club de Judo d'Asbestos-Danville</v>
      </c>
      <c r="D635" s="1" t="str">
        <f>"QC"</f>
        <v>QC</v>
      </c>
      <c r="E635" s="1" t="str">
        <f>"Quebec"</f>
        <v>Quebec</v>
      </c>
      <c r="F635" s="1" t="str">
        <f>"Olivier"</f>
        <v>Olivier</v>
      </c>
      <c r="G635" s="1" t="str">
        <f>"Ostigny"</f>
        <v>Ostigny</v>
      </c>
      <c r="H635" s="1" t="str">
        <f>"0189115"</f>
        <v>0189115</v>
      </c>
      <c r="I635" s="1" t="str">
        <f t="shared" si="86"/>
        <v>M</v>
      </c>
      <c r="J635" s="2">
        <v>2004</v>
      </c>
      <c r="K635" s="1" t="str">
        <f>"2k+"</f>
        <v>2k+</v>
      </c>
      <c r="L635" s="1" t="s">
        <v>111</v>
      </c>
      <c r="M635" s="1" t="str">
        <f t="shared" si="87"/>
        <v>-60</v>
      </c>
      <c r="N635" s="1" t="str">
        <f>""</f>
        <v/>
      </c>
      <c r="O635" s="1">
        <v>2</v>
      </c>
      <c r="P635" s="1"/>
      <c r="Q635" t="s">
        <v>281</v>
      </c>
    </row>
    <row r="636" spans="1:17" x14ac:dyDescent="0.25">
      <c r="A636" t="str">
        <f>"2018-10-17 21:58:29"</f>
        <v>2018-10-17 21:58:29</v>
      </c>
      <c r="B636" s="1" t="str">
        <f>""</f>
        <v/>
      </c>
      <c r="C636" s="1" t="str">
        <f>"Hart Judo Academy"</f>
        <v>Hart Judo Academy</v>
      </c>
      <c r="D636" s="1" t="str">
        <f>"BC"</f>
        <v>BC</v>
      </c>
      <c r="E636" s="1" t="str">
        <f>"British Columbia"</f>
        <v>British Columbia</v>
      </c>
      <c r="F636" s="1" t="str">
        <f>"Gabriel"</f>
        <v>Gabriel</v>
      </c>
      <c r="G636" s="1" t="str">
        <f>"Paterson"</f>
        <v>Paterson</v>
      </c>
      <c r="H636" s="1" t="str">
        <f>"0182777"</f>
        <v>0182777</v>
      </c>
      <c r="I636" s="1" t="str">
        <f t="shared" si="86"/>
        <v>M</v>
      </c>
      <c r="J636" s="2">
        <v>2004</v>
      </c>
      <c r="K636" s="1" t="str">
        <f>"2k"</f>
        <v>2k</v>
      </c>
      <c r="L636" s="1" t="s">
        <v>111</v>
      </c>
      <c r="M636" s="1" t="str">
        <f t="shared" si="87"/>
        <v>-60</v>
      </c>
      <c r="N636" s="1" t="str">
        <f>""</f>
        <v/>
      </c>
      <c r="O636" s="1">
        <v>2</v>
      </c>
      <c r="P636" s="1"/>
      <c r="Q636" t="s">
        <v>281</v>
      </c>
    </row>
    <row r="637" spans="1:17" x14ac:dyDescent="0.25">
      <c r="A637" t="str">
        <f>"2018-10-19 11:10:38"</f>
        <v>2018-10-19 11:10:38</v>
      </c>
      <c r="B637" s="1" t="str">
        <f>""</f>
        <v/>
      </c>
      <c r="C637" s="1" t="str">
        <f>"Club de judo To Haku kan inc."</f>
        <v>Club de judo To Haku kan inc.</v>
      </c>
      <c r="D637" s="1" t="str">
        <f>"QC"</f>
        <v>QC</v>
      </c>
      <c r="E637" s="1" t="str">
        <f>"Quebec"</f>
        <v>Quebec</v>
      </c>
      <c r="F637" s="1" t="str">
        <f>"Mickael"</f>
        <v>Mickael</v>
      </c>
      <c r="G637" s="1" t="str">
        <f>"Phaneuf"</f>
        <v>Phaneuf</v>
      </c>
      <c r="H637" s="1" t="str">
        <f>"0189078"</f>
        <v>0189078</v>
      </c>
      <c r="I637" s="1" t="str">
        <f t="shared" si="86"/>
        <v>M</v>
      </c>
      <c r="J637" s="2">
        <v>2005</v>
      </c>
      <c r="K637" s="1" t="str">
        <f>"2k+"</f>
        <v>2k+</v>
      </c>
      <c r="L637" s="1" t="str">
        <f>"U16"</f>
        <v>U16</v>
      </c>
      <c r="M637" s="1" t="str">
        <f t="shared" si="87"/>
        <v>-60</v>
      </c>
      <c r="N637" s="1" t="str">
        <f>""</f>
        <v/>
      </c>
      <c r="O637" s="1">
        <v>1</v>
      </c>
      <c r="P637" s="1"/>
      <c r="Q637" t="s">
        <v>281</v>
      </c>
    </row>
    <row r="638" spans="1:17" x14ac:dyDescent="0.25">
      <c r="A638" t="str">
        <f>"2018-10-14 22:11:42"</f>
        <v>2018-10-14 22:11:42</v>
      </c>
      <c r="B638" s="1" t="str">
        <f>""</f>
        <v/>
      </c>
      <c r="C638" s="1" t="str">
        <f>"Club de judo St-Jean Bosco de Hull"</f>
        <v>Club de judo St-Jean Bosco de Hull</v>
      </c>
      <c r="D638" s="1" t="str">
        <f>"QC"</f>
        <v>QC</v>
      </c>
      <c r="E638" s="1" t="str">
        <f>"Quebec"</f>
        <v>Quebec</v>
      </c>
      <c r="F638" s="1" t="str">
        <f>"Arthur"</f>
        <v>Arthur</v>
      </c>
      <c r="G638" s="1" t="str">
        <f>"Pontier-Valois"</f>
        <v>Pontier-Valois</v>
      </c>
      <c r="H638" s="1" t="str">
        <f>"0214699"</f>
        <v>0214699</v>
      </c>
      <c r="I638" s="1" t="str">
        <f t="shared" si="86"/>
        <v>M</v>
      </c>
      <c r="J638" s="2">
        <v>2004</v>
      </c>
      <c r="K638" s="1" t="str">
        <f>"2k"</f>
        <v>2k</v>
      </c>
      <c r="L638" s="1" t="str">
        <f>"U16"</f>
        <v>U16</v>
      </c>
      <c r="M638" s="1" t="str">
        <f t="shared" si="87"/>
        <v>-60</v>
      </c>
      <c r="N638" s="1" t="str">
        <f>""</f>
        <v/>
      </c>
      <c r="O638" s="1">
        <v>1</v>
      </c>
      <c r="P638" s="1"/>
      <c r="Q638" t="s">
        <v>281</v>
      </c>
    </row>
    <row r="639" spans="1:17" x14ac:dyDescent="0.25">
      <c r="A639" t="str">
        <f>"2018-10-21 21:45:40"</f>
        <v>2018-10-21 21:45:40</v>
      </c>
      <c r="B639" s="1" t="str">
        <f>""</f>
        <v/>
      </c>
      <c r="C639" s="1" t="str">
        <f>"Ki-itsu-sai National Training Center"</f>
        <v>Ki-itsu-sai National Training Center</v>
      </c>
      <c r="D639" s="1" t="s">
        <v>106</v>
      </c>
      <c r="E639" s="1" t="str">
        <f>"Florida/ US"</f>
        <v>Florida/ US</v>
      </c>
      <c r="F639" s="1" t="str">
        <f>"Dominic"</f>
        <v>Dominic</v>
      </c>
      <c r="G639" s="1" t="str">
        <f>"Rodriguez"</f>
        <v>Rodriguez</v>
      </c>
      <c r="H639" s="1" t="str">
        <f>"AutreFederation"</f>
        <v>AutreFederation</v>
      </c>
      <c r="I639" s="1" t="str">
        <f t="shared" si="86"/>
        <v>M</v>
      </c>
      <c r="J639" s="2">
        <v>2004</v>
      </c>
      <c r="K639" s="1" t="str">
        <f>"1D"</f>
        <v>1D</v>
      </c>
      <c r="L639" s="1" t="s">
        <v>111</v>
      </c>
      <c r="M639" s="1" t="str">
        <f t="shared" si="87"/>
        <v>-60</v>
      </c>
      <c r="N639" s="1" t="str">
        <f>"60kg"</f>
        <v>60kg</v>
      </c>
      <c r="O639" s="1">
        <v>2</v>
      </c>
      <c r="P639" s="1"/>
      <c r="Q639" t="s">
        <v>281</v>
      </c>
    </row>
    <row r="640" spans="1:17" x14ac:dyDescent="0.25">
      <c r="A640" t="str">
        <f>"2018-10-14 20:46:29"</f>
        <v>2018-10-14 20:46:29</v>
      </c>
      <c r="B640" s="1" t="str">
        <f>""</f>
        <v/>
      </c>
      <c r="C640" s="1" t="str">
        <f>"Club de judo Shidokan inc."</f>
        <v>Club de judo Shidokan inc.</v>
      </c>
      <c r="D640" s="1" t="str">
        <f>"QC"</f>
        <v>QC</v>
      </c>
      <c r="E640" s="1" t="str">
        <f>"Quebec"</f>
        <v>Quebec</v>
      </c>
      <c r="F640" s="1" t="str">
        <f>"Philippe"</f>
        <v>Philippe</v>
      </c>
      <c r="G640" s="1" t="str">
        <f>"Rosset-Balcer"</f>
        <v>Rosset-Balcer</v>
      </c>
      <c r="H640" s="1" t="str">
        <f>"0194880"</f>
        <v>0194880</v>
      </c>
      <c r="I640" s="1" t="str">
        <f t="shared" si="86"/>
        <v>M</v>
      </c>
      <c r="J640" s="2">
        <v>2005</v>
      </c>
      <c r="K640" s="1" t="str">
        <f>"2k"</f>
        <v>2k</v>
      </c>
      <c r="L640" s="1" t="str">
        <f>"U16"</f>
        <v>U16</v>
      </c>
      <c r="M640" s="1" t="str">
        <f t="shared" si="87"/>
        <v>-60</v>
      </c>
      <c r="N640" s="1" t="str">
        <f>""</f>
        <v/>
      </c>
      <c r="O640" s="1">
        <v>1</v>
      </c>
      <c r="P640" s="1"/>
      <c r="Q640" t="s">
        <v>281</v>
      </c>
    </row>
    <row r="641" spans="1:17" x14ac:dyDescent="0.25">
      <c r="A641" t="str">
        <f>"2018-10-21 13:55:50"</f>
        <v>2018-10-21 13:55:50</v>
      </c>
      <c r="B641" s="1" t="str">
        <f>""</f>
        <v/>
      </c>
      <c r="C641" s="1" t="str">
        <f>"Club de judo Métropolitain inc."</f>
        <v>Club de judo Métropolitain inc.</v>
      </c>
      <c r="D641" s="1" t="str">
        <f>"QC"</f>
        <v>QC</v>
      </c>
      <c r="E641" s="1" t="str">
        <f>"Quebec"</f>
        <v>Quebec</v>
      </c>
      <c r="F641" s="1" t="str">
        <f>"Artem"</f>
        <v>Artem</v>
      </c>
      <c r="G641" s="1" t="str">
        <f>"Shaporin"</f>
        <v>Shaporin</v>
      </c>
      <c r="H641" s="1" t="str">
        <f>"0197662"</f>
        <v>0197662</v>
      </c>
      <c r="I641" s="1" t="str">
        <f t="shared" si="86"/>
        <v>M</v>
      </c>
      <c r="J641" s="2">
        <v>2004</v>
      </c>
      <c r="K641" s="1" t="str">
        <f>"1k"</f>
        <v>1k</v>
      </c>
      <c r="L641" s="1" t="str">
        <f>"U16"</f>
        <v>U16</v>
      </c>
      <c r="M641" s="1" t="str">
        <f t="shared" si="87"/>
        <v>-60</v>
      </c>
      <c r="N641" s="1" t="str">
        <f>""</f>
        <v/>
      </c>
      <c r="O641" s="1">
        <v>1</v>
      </c>
      <c r="P641" s="1"/>
      <c r="Q641" t="s">
        <v>281</v>
      </c>
    </row>
    <row r="642" spans="1:17" x14ac:dyDescent="0.25">
      <c r="A642" t="str">
        <f>"2018-10-19 08:27:08"</f>
        <v>2018-10-19 08:27:08</v>
      </c>
      <c r="B642" s="1" t="str">
        <f>""</f>
        <v/>
      </c>
      <c r="C642" s="1" t="str">
        <f>"Club de judo de la vieille capitale"</f>
        <v>Club de judo de la vieille capitale</v>
      </c>
      <c r="D642" s="1" t="str">
        <f>"QC"</f>
        <v>QC</v>
      </c>
      <c r="E642" s="1" t="str">
        <f>"Quebec"</f>
        <v>Quebec</v>
      </c>
      <c r="F642" s="1" t="str">
        <f>"Édouard"</f>
        <v>Édouard</v>
      </c>
      <c r="G642" s="1" t="str">
        <f>"Smith"</f>
        <v>Smith</v>
      </c>
      <c r="H642" s="1" t="str">
        <f>"0184921"</f>
        <v>0184921</v>
      </c>
      <c r="I642" s="1" t="str">
        <f t="shared" si="86"/>
        <v>M</v>
      </c>
      <c r="J642" s="2">
        <v>2005</v>
      </c>
      <c r="K642" s="1" t="str">
        <f>"2k"</f>
        <v>2k</v>
      </c>
      <c r="L642" s="1" t="str">
        <f>"U16"</f>
        <v>U16</v>
      </c>
      <c r="M642" s="1" t="str">
        <f t="shared" si="87"/>
        <v>-60</v>
      </c>
      <c r="N642" s="1" t="str">
        <f>""</f>
        <v/>
      </c>
      <c r="O642" s="1">
        <v>1</v>
      </c>
      <c r="P642" s="1"/>
      <c r="Q642" t="s">
        <v>281</v>
      </c>
    </row>
    <row r="643" spans="1:17" x14ac:dyDescent="0.25">
      <c r="A643" t="str">
        <f>"2018-10-19 17:43:48"</f>
        <v>2018-10-19 17:43:48</v>
      </c>
      <c r="B643" s="1" t="str">
        <f>""</f>
        <v/>
      </c>
      <c r="C643" s="1" t="str">
        <f>"Challenge Sports Club"</f>
        <v>Challenge Sports Club</v>
      </c>
      <c r="D643" s="1" t="str">
        <f>"ON"</f>
        <v>ON</v>
      </c>
      <c r="E643" s="1" t="str">
        <f>"Ontario"</f>
        <v>Ontario</v>
      </c>
      <c r="F643" s="1" t="str">
        <f>"Yonatan"</f>
        <v>Yonatan</v>
      </c>
      <c r="G643" s="1" t="str">
        <f>"Soloveichik"</f>
        <v>Soloveichik</v>
      </c>
      <c r="H643" s="1" t="str">
        <f>"0203735"</f>
        <v>0203735</v>
      </c>
      <c r="I643" s="1" t="str">
        <f t="shared" si="86"/>
        <v>M</v>
      </c>
      <c r="J643" s="2">
        <v>2005</v>
      </c>
      <c r="K643" s="1" t="str">
        <f>"3k"</f>
        <v>3k</v>
      </c>
      <c r="L643" s="1" t="str">
        <f>"U16"</f>
        <v>U16</v>
      </c>
      <c r="M643" s="1" t="str">
        <f t="shared" si="87"/>
        <v>-60</v>
      </c>
      <c r="N643" s="1" t="str">
        <f>""</f>
        <v/>
      </c>
      <c r="O643" s="1">
        <v>1</v>
      </c>
      <c r="P643" s="1"/>
      <c r="Q643" t="s">
        <v>281</v>
      </c>
    </row>
    <row r="644" spans="1:17" x14ac:dyDescent="0.25">
      <c r="A644" t="str">
        <f>"2018-10-21 20:26:47"</f>
        <v>2018-10-21 20:26:47</v>
      </c>
      <c r="B644" s="1" t="str">
        <f>""</f>
        <v/>
      </c>
      <c r="C644" s="1" t="str">
        <f>"S.C.Corinthians"</f>
        <v>S.C.Corinthians</v>
      </c>
      <c r="D644" s="1" t="s">
        <v>164</v>
      </c>
      <c r="E644" s="1" t="str">
        <f>"Brazil"</f>
        <v>Brazil</v>
      </c>
      <c r="F644" s="1" t="str">
        <f>"Gustavo"</f>
        <v>Gustavo</v>
      </c>
      <c r="G644" s="1" t="str">
        <f>"Souza"</f>
        <v>Souza</v>
      </c>
      <c r="H644" s="1" t="str">
        <f>"AutreFederation"</f>
        <v>AutreFederation</v>
      </c>
      <c r="I644" s="1" t="str">
        <f t="shared" si="86"/>
        <v>M</v>
      </c>
      <c r="J644" s="2">
        <v>2005</v>
      </c>
      <c r="K644" s="1" t="str">
        <f>"3k"</f>
        <v>3k</v>
      </c>
      <c r="L644" s="1" t="str">
        <f>"U16"</f>
        <v>U16</v>
      </c>
      <c r="M644" s="1" t="str">
        <f t="shared" si="87"/>
        <v>-60</v>
      </c>
      <c r="N644" s="1" t="str">
        <f>""</f>
        <v/>
      </c>
      <c r="O644" s="1">
        <v>1</v>
      </c>
      <c r="P644" s="1"/>
      <c r="Q644" t="s">
        <v>281</v>
      </c>
    </row>
    <row r="645" spans="1:17" x14ac:dyDescent="0.25">
      <c r="A645" t="str">
        <f>"2018-10-25 11:16:01"</f>
        <v>2018-10-25 11:16:01</v>
      </c>
      <c r="B645" s="1" t="str">
        <f>""</f>
        <v/>
      </c>
      <c r="C645" s="1" t="str">
        <f>"Kokushikai Judo"</f>
        <v>Kokushikai Judo</v>
      </c>
      <c r="D645" s="1" t="str">
        <f>"BC"</f>
        <v>BC</v>
      </c>
      <c r="E645" s="1" t="str">
        <f>"British Columbia"</f>
        <v>British Columbia</v>
      </c>
      <c r="F645" s="1" t="str">
        <f>"Brendan"</f>
        <v>Brendan</v>
      </c>
      <c r="G645" s="1" t="str">
        <f>"Wong"</f>
        <v>Wong</v>
      </c>
      <c r="H645" s="1" t="str">
        <f>"0199246"</f>
        <v>0199246</v>
      </c>
      <c r="I645" s="1" t="str">
        <f t="shared" si="86"/>
        <v>M</v>
      </c>
      <c r="J645" s="2">
        <v>2004</v>
      </c>
      <c r="K645" s="1" t="str">
        <f>"2k"</f>
        <v>2k</v>
      </c>
      <c r="L645" s="1" t="s">
        <v>111</v>
      </c>
      <c r="M645" s="1" t="str">
        <f t="shared" si="87"/>
        <v>-60</v>
      </c>
      <c r="N645" s="1" t="str">
        <f>""</f>
        <v/>
      </c>
      <c r="O645" s="1">
        <v>2</v>
      </c>
      <c r="P645" s="1"/>
      <c r="Q645" t="s">
        <v>281</v>
      </c>
    </row>
    <row r="646" spans="1:17" x14ac:dyDescent="0.25">
      <c r="A646" t="str">
        <f>"2018-10-24 14:50:06"</f>
        <v>2018-10-24 14:50:06</v>
      </c>
      <c r="B646" s="1" t="str">
        <f>""</f>
        <v/>
      </c>
      <c r="C646" s="1" t="str">
        <f>"Arts martiaux Budokai inc."</f>
        <v>Arts martiaux Budokai inc.</v>
      </c>
      <c r="D646" s="1" t="str">
        <f>"QC"</f>
        <v>QC</v>
      </c>
      <c r="E646" s="1" t="str">
        <f>"Quebec"</f>
        <v>Quebec</v>
      </c>
      <c r="F646" s="1" t="str">
        <f>"Dave"</f>
        <v>Dave</v>
      </c>
      <c r="G646" s="1" t="str">
        <f>"Yana"</f>
        <v>Yana</v>
      </c>
      <c r="H646" s="1" t="str">
        <f>"0207587"</f>
        <v>0207587</v>
      </c>
      <c r="I646" s="1" t="str">
        <f t="shared" si="86"/>
        <v>M</v>
      </c>
      <c r="J646" s="2">
        <v>2005</v>
      </c>
      <c r="K646" s="1" t="str">
        <f>"3k+"</f>
        <v>3k+</v>
      </c>
      <c r="L646" s="1" t="str">
        <f>"U16"</f>
        <v>U16</v>
      </c>
      <c r="M646" s="1" t="str">
        <f t="shared" si="87"/>
        <v>-60</v>
      </c>
      <c r="N646" s="1" t="str">
        <f>""</f>
        <v/>
      </c>
      <c r="O646" s="1">
        <v>1</v>
      </c>
      <c r="P646" s="1"/>
      <c r="Q646" t="s">
        <v>281</v>
      </c>
    </row>
    <row r="647" spans="1:17" x14ac:dyDescent="0.25">
      <c r="A647" t="str">
        <f>"2018-10-14 17:39:56"</f>
        <v>2018-10-14 17:39:56</v>
      </c>
      <c r="B647" s="1" t="str">
        <f>""</f>
        <v/>
      </c>
      <c r="C647" s="1" t="str">
        <f>"Saskatoon Ymca Judo Club"</f>
        <v>Saskatoon Ymca Judo Club</v>
      </c>
      <c r="D647" s="1" t="str">
        <f>"SK"</f>
        <v>SK</v>
      </c>
      <c r="E647" s="1" t="str">
        <f>"Saskatchewan"</f>
        <v>Saskatchewan</v>
      </c>
      <c r="F647" s="1" t="str">
        <f>"Desiree"</f>
        <v>Desiree</v>
      </c>
      <c r="G647" s="1" t="str">
        <f>"Franson"</f>
        <v>Franson</v>
      </c>
      <c r="H647" s="1" t="str">
        <f>"0227118"</f>
        <v>0227118</v>
      </c>
      <c r="I647" s="1" t="str">
        <f t="shared" ref="I647:I658" si="89">"F"</f>
        <v>F</v>
      </c>
      <c r="J647" s="2">
        <v>2005</v>
      </c>
      <c r="K647" s="1" t="str">
        <f>"3k"</f>
        <v>3k</v>
      </c>
      <c r="L647" s="1" t="str">
        <f>"U16"</f>
        <v>U16</v>
      </c>
      <c r="M647" s="1" t="str">
        <f t="shared" ref="M647:M658" si="90">"-63"</f>
        <v>-63</v>
      </c>
      <c r="N647" s="1" t="str">
        <f>""</f>
        <v/>
      </c>
      <c r="O647" s="1">
        <v>1</v>
      </c>
      <c r="P647" s="1"/>
      <c r="Q647" t="s">
        <v>282</v>
      </c>
    </row>
    <row r="648" spans="1:17" x14ac:dyDescent="0.25">
      <c r="A648" t="str">
        <f>"2018-10-12 13:41:44"</f>
        <v>2018-10-12 13:41:44</v>
      </c>
      <c r="B648" s="1" t="str">
        <f>"2018-10-23 08:37:31"</f>
        <v>2018-10-23 08:37:31</v>
      </c>
      <c r="C648" s="1" t="str">
        <f>"Club de judo Métropolitain inc."</f>
        <v>Club de judo Métropolitain inc.</v>
      </c>
      <c r="D648" s="1" t="str">
        <f>"QC"</f>
        <v>QC</v>
      </c>
      <c r="E648" s="1" t="str">
        <f>"Quebec"</f>
        <v>Quebec</v>
      </c>
      <c r="F648" s="1" t="str">
        <f>"Loane"</f>
        <v>Loane</v>
      </c>
      <c r="G648" s="1" t="str">
        <f>"Gill"</f>
        <v>Gill</v>
      </c>
      <c r="H648" s="1" t="str">
        <f>"0223674"</f>
        <v>0223674</v>
      </c>
      <c r="I648" s="1" t="str">
        <f t="shared" si="89"/>
        <v>F</v>
      </c>
      <c r="J648" s="2">
        <v>2005</v>
      </c>
      <c r="K648" s="1" t="str">
        <f>"3k"</f>
        <v>3k</v>
      </c>
      <c r="L648" s="1" t="str">
        <f>"U16"</f>
        <v>U16</v>
      </c>
      <c r="M648" s="1" t="str">
        <f t="shared" si="90"/>
        <v>-63</v>
      </c>
      <c r="N648" s="1" t="str">
        <f>""</f>
        <v/>
      </c>
      <c r="O648" s="1">
        <v>1</v>
      </c>
      <c r="P648" s="1"/>
      <c r="Q648" t="s">
        <v>282</v>
      </c>
    </row>
    <row r="649" spans="1:17" x14ac:dyDescent="0.25">
      <c r="A649" t="str">
        <f>"2018-10-20 10:03:40"</f>
        <v>2018-10-20 10:03:40</v>
      </c>
      <c r="B649" s="1" t="str">
        <f>""</f>
        <v/>
      </c>
      <c r="C649" s="1" t="str">
        <f>"Hiro's Judo Club"</f>
        <v>Hiro's Judo Club</v>
      </c>
      <c r="D649" s="1" t="str">
        <f>"AB"</f>
        <v>AB</v>
      </c>
      <c r="E649" s="1" t="str">
        <f>"Alberta"</f>
        <v>Alberta</v>
      </c>
      <c r="F649" s="1" t="str">
        <f>"Greta"</f>
        <v>Greta</v>
      </c>
      <c r="G649" s="1" t="str">
        <f>"Goasdoue-Wallace"</f>
        <v>Goasdoue-Wallace</v>
      </c>
      <c r="H649" s="1" t="str">
        <f>"0182070"</f>
        <v>0182070</v>
      </c>
      <c r="I649" s="1" t="str">
        <f t="shared" si="89"/>
        <v>F</v>
      </c>
      <c r="J649" s="2">
        <v>2004</v>
      </c>
      <c r="K649" s="1" t="str">
        <f>"1k"</f>
        <v>1k</v>
      </c>
      <c r="L649" s="1" t="s">
        <v>111</v>
      </c>
      <c r="M649" s="1" t="str">
        <f t="shared" si="90"/>
        <v>-63</v>
      </c>
      <c r="N649" s="1" t="str">
        <f>""</f>
        <v/>
      </c>
      <c r="O649" s="1">
        <v>2</v>
      </c>
      <c r="P649" s="1"/>
      <c r="Q649" t="s">
        <v>282</v>
      </c>
    </row>
    <row r="650" spans="1:17" x14ac:dyDescent="0.25">
      <c r="A650" t="str">
        <f>"2018-10-20 00:47:31"</f>
        <v>2018-10-20 00:47:31</v>
      </c>
      <c r="B650" s="1" t="str">
        <f>"2018-10-26 11:33:53"</f>
        <v>2018-10-26 11:33:53</v>
      </c>
      <c r="C650" s="1" t="str">
        <f>"Shin Bu Kan Judo"</f>
        <v>Shin Bu Kan Judo</v>
      </c>
      <c r="D650" s="1" t="str">
        <f>"BC"</f>
        <v>BC</v>
      </c>
      <c r="E650" s="1" t="str">
        <f>"Ontario"</f>
        <v>Ontario</v>
      </c>
      <c r="F650" s="1" t="str">
        <f>"Divine"</f>
        <v>Divine</v>
      </c>
      <c r="G650" s="1" t="str">
        <f>"Grant-Stuart"</f>
        <v>Grant-Stuart</v>
      </c>
      <c r="H650" s="1" t="str">
        <f>"3734"</f>
        <v>3734</v>
      </c>
      <c r="I650" s="1" t="str">
        <f t="shared" si="89"/>
        <v>F</v>
      </c>
      <c r="J650" s="2">
        <v>2005</v>
      </c>
      <c r="K650" s="1" t="str">
        <f>"3k"</f>
        <v>3k</v>
      </c>
      <c r="L650" s="1" t="str">
        <f>"U16"</f>
        <v>U16</v>
      </c>
      <c r="M650" s="1" t="str">
        <f t="shared" si="90"/>
        <v>-63</v>
      </c>
      <c r="N650" s="1" t="str">
        <f>""</f>
        <v/>
      </c>
      <c r="O650" s="1">
        <v>1</v>
      </c>
      <c r="P650" s="1"/>
      <c r="Q650" t="s">
        <v>282</v>
      </c>
    </row>
    <row r="651" spans="1:17" x14ac:dyDescent="0.25">
      <c r="A651" t="str">
        <f>"2018-10-20 23:23:57"</f>
        <v>2018-10-20 23:23:57</v>
      </c>
      <c r="B651" s="1" t="str">
        <f>"2018-10-26 15:39:55"</f>
        <v>2018-10-26 15:39:55</v>
      </c>
      <c r="C651" s="1" t="str">
        <f>"Mile Zero Judo Club"</f>
        <v>Mile Zero Judo Club</v>
      </c>
      <c r="D651" s="1" t="str">
        <f>"BC"</f>
        <v>BC</v>
      </c>
      <c r="E651" s="1" t="str">
        <f>"British Columbia"</f>
        <v>British Columbia</v>
      </c>
      <c r="F651" s="1" t="str">
        <f>"Loveena"</f>
        <v>Loveena</v>
      </c>
      <c r="G651" s="1" t="str">
        <f>"McCorkell"</f>
        <v>McCorkell</v>
      </c>
      <c r="H651" s="1" t="str">
        <f>"0222222"</f>
        <v>0222222</v>
      </c>
      <c r="I651" s="1" t="str">
        <f t="shared" si="89"/>
        <v>F</v>
      </c>
      <c r="J651" s="2">
        <v>2004</v>
      </c>
      <c r="K651" s="1" t="str">
        <f>"2k"</f>
        <v>2k</v>
      </c>
      <c r="L651" s="1" t="str">
        <f>"U16"</f>
        <v>U16</v>
      </c>
      <c r="M651" s="1" t="str">
        <f t="shared" si="90"/>
        <v>-63</v>
      </c>
      <c r="N651" s="1" t="str">
        <f>"60kg"</f>
        <v>60kg</v>
      </c>
      <c r="O651" s="1">
        <v>1</v>
      </c>
      <c r="P651" s="1"/>
      <c r="Q651" t="s">
        <v>282</v>
      </c>
    </row>
    <row r="652" spans="1:17" x14ac:dyDescent="0.25">
      <c r="A652" t="str">
        <f>"2018-10-18 13:01:06"</f>
        <v>2018-10-18 13:01:06</v>
      </c>
      <c r="B652" s="1" t="str">
        <f>""</f>
        <v/>
      </c>
      <c r="C652" s="1" t="str">
        <f>"Victoria Judo Club"</f>
        <v>Victoria Judo Club</v>
      </c>
      <c r="D652" s="1" t="str">
        <f>"BC"</f>
        <v>BC</v>
      </c>
      <c r="E652" s="1" t="str">
        <f>"British Columbia"</f>
        <v>British Columbia</v>
      </c>
      <c r="F652" s="1" t="str">
        <f>"Nyota"</f>
        <v>Nyota</v>
      </c>
      <c r="G652" s="1" t="str">
        <f>"Morisho"</f>
        <v>Morisho</v>
      </c>
      <c r="H652" s="1" t="str">
        <f>"0180036"</f>
        <v>0180036</v>
      </c>
      <c r="I652" s="1" t="str">
        <f t="shared" si="89"/>
        <v>F</v>
      </c>
      <c r="J652" s="2">
        <v>2005</v>
      </c>
      <c r="K652" s="1" t="str">
        <f>"2k"</f>
        <v>2k</v>
      </c>
      <c r="L652" s="1" t="str">
        <f>"U16"</f>
        <v>U16</v>
      </c>
      <c r="M652" s="1" t="str">
        <f t="shared" si="90"/>
        <v>-63</v>
      </c>
      <c r="N652" s="1" t="str">
        <f>""</f>
        <v/>
      </c>
      <c r="O652" s="1">
        <v>1</v>
      </c>
      <c r="P652" s="1"/>
      <c r="Q652" t="s">
        <v>282</v>
      </c>
    </row>
    <row r="653" spans="1:17" x14ac:dyDescent="0.25">
      <c r="A653" t="str">
        <f>"2018-10-15 23:12:12"</f>
        <v>2018-10-15 23:12:12</v>
      </c>
      <c r="B653" s="1" t="str">
        <f>""</f>
        <v/>
      </c>
      <c r="C653" s="1" t="str">
        <f>"Club de judo Métropolitain inc."</f>
        <v>Club de judo Métropolitain inc.</v>
      </c>
      <c r="D653" s="1" t="str">
        <f t="shared" ref="D653:D658" si="91">"QC"</f>
        <v>QC</v>
      </c>
      <c r="E653" s="1" t="str">
        <f t="shared" ref="E653:E658" si="92">"Quebec"</f>
        <v>Quebec</v>
      </c>
      <c r="F653" s="1" t="str">
        <f>"Lara"</f>
        <v>Lara</v>
      </c>
      <c r="G653" s="1" t="str">
        <f>"Normil"</f>
        <v>Normil</v>
      </c>
      <c r="H653" s="1" t="str">
        <f>"0217568"</f>
        <v>0217568</v>
      </c>
      <c r="I653" s="1" t="str">
        <f t="shared" si="89"/>
        <v>F</v>
      </c>
      <c r="J653" s="2">
        <v>2004</v>
      </c>
      <c r="K653" s="1" t="str">
        <f>"1k"</f>
        <v>1k</v>
      </c>
      <c r="L653" s="1" t="s">
        <v>111</v>
      </c>
      <c r="M653" s="1" t="str">
        <f t="shared" si="90"/>
        <v>-63</v>
      </c>
      <c r="N653" s="1" t="str">
        <f>"-63kg"</f>
        <v>-63kg</v>
      </c>
      <c r="O653" s="1">
        <v>2</v>
      </c>
      <c r="P653" s="1"/>
      <c r="Q653" t="s">
        <v>282</v>
      </c>
    </row>
    <row r="654" spans="1:17" x14ac:dyDescent="0.25">
      <c r="A654" t="str">
        <f>"2018-10-12 13:41:44"</f>
        <v>2018-10-12 13:41:44</v>
      </c>
      <c r="B654" s="1" t="str">
        <f>""</f>
        <v/>
      </c>
      <c r="C654" s="1" t="str">
        <f>"Club de judo St-Jean Bosco de Hull"</f>
        <v>Club de judo St-Jean Bosco de Hull</v>
      </c>
      <c r="D654" s="1" t="str">
        <f t="shared" si="91"/>
        <v>QC</v>
      </c>
      <c r="E654" s="1" t="str">
        <f t="shared" si="92"/>
        <v>Quebec</v>
      </c>
      <c r="F654" s="1" t="str">
        <f>"Loika"</f>
        <v>Loika</v>
      </c>
      <c r="G654" s="1" t="str">
        <f>"Robertson"</f>
        <v>Robertson</v>
      </c>
      <c r="H654" s="1" t="str">
        <f>"0227760"</f>
        <v>0227760</v>
      </c>
      <c r="I654" s="1" t="str">
        <f t="shared" si="89"/>
        <v>F</v>
      </c>
      <c r="J654" s="2">
        <v>2005</v>
      </c>
      <c r="K654" s="1" t="str">
        <f>"3k"</f>
        <v>3k</v>
      </c>
      <c r="L654" s="1" t="str">
        <f>"U16"</f>
        <v>U16</v>
      </c>
      <c r="M654" s="1" t="str">
        <f t="shared" si="90"/>
        <v>-63</v>
      </c>
      <c r="N654" s="1" t="str">
        <f>""</f>
        <v/>
      </c>
      <c r="O654" s="1">
        <v>1</v>
      </c>
      <c r="P654" s="1"/>
      <c r="Q654" t="s">
        <v>282</v>
      </c>
    </row>
    <row r="655" spans="1:17" x14ac:dyDescent="0.25">
      <c r="A655" t="str">
        <f>"2018-10-19 10:42:55"</f>
        <v>2018-10-19 10:42:55</v>
      </c>
      <c r="B655" s="1" t="str">
        <f>""</f>
        <v/>
      </c>
      <c r="C655" s="1" t="str">
        <f>"Club de judo de Lachenaie"</f>
        <v>Club de judo de Lachenaie</v>
      </c>
      <c r="D655" s="1" t="str">
        <f t="shared" si="91"/>
        <v>QC</v>
      </c>
      <c r="E655" s="1" t="str">
        <f t="shared" si="92"/>
        <v>Quebec</v>
      </c>
      <c r="F655" s="1" t="str">
        <f>"Camille"</f>
        <v>Camille</v>
      </c>
      <c r="G655" s="1" t="str">
        <f>"Roy"</f>
        <v>Roy</v>
      </c>
      <c r="H655" s="1" t="str">
        <f>"0179377"</f>
        <v>0179377</v>
      </c>
      <c r="I655" s="1" t="str">
        <f t="shared" si="89"/>
        <v>F</v>
      </c>
      <c r="J655" s="2">
        <v>2005</v>
      </c>
      <c r="K655" s="1" t="str">
        <f>"3k+"</f>
        <v>3k+</v>
      </c>
      <c r="L655" s="1" t="str">
        <f>"U16"</f>
        <v>U16</v>
      </c>
      <c r="M655" s="1" t="str">
        <f t="shared" si="90"/>
        <v>-63</v>
      </c>
      <c r="N655" s="1" t="str">
        <f>""</f>
        <v/>
      </c>
      <c r="O655" s="1">
        <v>1</v>
      </c>
      <c r="P655" s="1"/>
      <c r="Q655" t="s">
        <v>282</v>
      </c>
    </row>
    <row r="656" spans="1:17" x14ac:dyDescent="0.25">
      <c r="A656" t="str">
        <f>"2018-10-15 23:20:12"</f>
        <v>2018-10-15 23:20:12</v>
      </c>
      <c r="B656" s="1" t="str">
        <f>""</f>
        <v/>
      </c>
      <c r="C656" s="1" t="str">
        <f>"Dojo Perrot Shima"</f>
        <v>Dojo Perrot Shima</v>
      </c>
      <c r="D656" s="1" t="str">
        <f t="shared" si="91"/>
        <v>QC</v>
      </c>
      <c r="E656" s="1" t="str">
        <f t="shared" si="92"/>
        <v>Quebec</v>
      </c>
      <c r="F656" s="1" t="str">
        <f>"Andra"</f>
        <v>Andra</v>
      </c>
      <c r="G656" s="1" t="str">
        <f>"Scripcariu"</f>
        <v>Scripcariu</v>
      </c>
      <c r="H656" s="1" t="str">
        <f>"0239369"</f>
        <v>0239369</v>
      </c>
      <c r="I656" s="1" t="str">
        <f t="shared" si="89"/>
        <v>F</v>
      </c>
      <c r="J656" s="2">
        <v>2004</v>
      </c>
      <c r="K656" s="1" t="str">
        <f>"3k"</f>
        <v>3k</v>
      </c>
      <c r="L656" s="1" t="str">
        <f>"U16"</f>
        <v>U16</v>
      </c>
      <c r="M656" s="1" t="str">
        <f t="shared" si="90"/>
        <v>-63</v>
      </c>
      <c r="N656" s="1" t="str">
        <f>""</f>
        <v/>
      </c>
      <c r="O656" s="1">
        <v>1</v>
      </c>
      <c r="P656" s="1"/>
      <c r="Q656" t="s">
        <v>282</v>
      </c>
    </row>
    <row r="657" spans="1:17" x14ac:dyDescent="0.25">
      <c r="B657" s="9" t="str">
        <f>""</f>
        <v/>
      </c>
      <c r="C657" s="9" t="str">
        <f>"Club de judo Métropolitain inc."</f>
        <v>Club de judo Métropolitain inc.</v>
      </c>
      <c r="D657" s="9" t="str">
        <f t="shared" si="91"/>
        <v>QC</v>
      </c>
      <c r="E657" s="9" t="str">
        <f t="shared" si="92"/>
        <v>Quebec</v>
      </c>
      <c r="F657" s="9" t="str">
        <f>"Justine"</f>
        <v>Justine</v>
      </c>
      <c r="G657" s="9" t="str">
        <f>"Simard"</f>
        <v>Simard</v>
      </c>
      <c r="H657" s="9" t="str">
        <f>"0238300"</f>
        <v>0238300</v>
      </c>
      <c r="I657" s="9" t="str">
        <f t="shared" si="89"/>
        <v>F</v>
      </c>
      <c r="J657" s="9">
        <v>2004</v>
      </c>
      <c r="K657" s="9" t="s">
        <v>73</v>
      </c>
      <c r="L657" s="9" t="s">
        <v>111</v>
      </c>
      <c r="M657" s="9" t="str">
        <f t="shared" si="90"/>
        <v>-63</v>
      </c>
      <c r="N657" s="9"/>
      <c r="O657" s="9">
        <v>2</v>
      </c>
      <c r="P657" s="9"/>
      <c r="Q657" t="s">
        <v>282</v>
      </c>
    </row>
    <row r="658" spans="1:17" x14ac:dyDescent="0.25">
      <c r="A658" t="str">
        <f>"2018-10-21 19:16:12"</f>
        <v>2018-10-21 19:16:12</v>
      </c>
      <c r="B658" s="1" t="str">
        <f>""</f>
        <v/>
      </c>
      <c r="C658" s="1" t="str">
        <f>"Club de Judo d'Asbestos-Danville"</f>
        <v>Club de Judo d'Asbestos-Danville</v>
      </c>
      <c r="D658" s="1" t="str">
        <f t="shared" si="91"/>
        <v>QC</v>
      </c>
      <c r="E658" s="1" t="str">
        <f t="shared" si="92"/>
        <v>Quebec</v>
      </c>
      <c r="F658" s="1" t="str">
        <f>"Mélodie"</f>
        <v>Mélodie</v>
      </c>
      <c r="G658" s="1" t="str">
        <f>"St-Onge"</f>
        <v>St-Onge</v>
      </c>
      <c r="H658" s="1" t="str">
        <f>"0175310"</f>
        <v>0175310</v>
      </c>
      <c r="I658" s="1" t="str">
        <f t="shared" si="89"/>
        <v>F</v>
      </c>
      <c r="J658" s="2">
        <v>2005</v>
      </c>
      <c r="K658" s="1" t="str">
        <f>"3k+"</f>
        <v>3k+</v>
      </c>
      <c r="L658" s="1" t="str">
        <f>"U16"</f>
        <v>U16</v>
      </c>
      <c r="M658" s="1" t="str">
        <f t="shared" si="90"/>
        <v>-63</v>
      </c>
      <c r="N658" s="1" t="str">
        <f>""</f>
        <v/>
      </c>
      <c r="O658" s="1">
        <v>1</v>
      </c>
      <c r="P658" s="1"/>
      <c r="Q658" t="s">
        <v>282</v>
      </c>
    </row>
    <row r="659" spans="1:17" x14ac:dyDescent="0.25">
      <c r="A659" t="str">
        <f>"2018-10-06 08:24:52"</f>
        <v>2018-10-06 08:24:52</v>
      </c>
      <c r="B659" s="1" t="str">
        <f>""</f>
        <v/>
      </c>
      <c r="C659" s="1" t="str">
        <f>"Judo Sambo Center"</f>
        <v>Judo Sambo Center</v>
      </c>
      <c r="D659" s="1" t="s">
        <v>106</v>
      </c>
      <c r="E659" s="1" t="str">
        <f>"United States"</f>
        <v>United States</v>
      </c>
      <c r="F659" s="1" t="str">
        <f>"Daniel"</f>
        <v>Daniel</v>
      </c>
      <c r="G659" s="1" t="str">
        <f>"Abramov"</f>
        <v>Abramov</v>
      </c>
      <c r="H659" s="1" t="str">
        <f>"AutreFederation"</f>
        <v>AutreFederation</v>
      </c>
      <c r="I659" s="1" t="str">
        <f t="shared" ref="I659:I677" si="93">"M"</f>
        <v>M</v>
      </c>
      <c r="J659" s="2">
        <v>2004</v>
      </c>
      <c r="K659" s="1" t="str">
        <f>"2k+"</f>
        <v>2k+</v>
      </c>
      <c r="L659" s="1" t="str">
        <f>"U16"</f>
        <v>U16</v>
      </c>
      <c r="M659" s="1" t="str">
        <f t="shared" ref="M659:M677" si="94">"-66"</f>
        <v>-66</v>
      </c>
      <c r="N659" s="1" t="str">
        <f>""</f>
        <v/>
      </c>
      <c r="O659" s="1">
        <v>1</v>
      </c>
      <c r="P659" s="1"/>
      <c r="Q659" t="s">
        <v>114</v>
      </c>
    </row>
    <row r="660" spans="1:17" x14ac:dyDescent="0.25">
      <c r="A660" t="str">
        <f>"2018-10-20 13:19:21"</f>
        <v>2018-10-20 13:19:21</v>
      </c>
      <c r="B660" s="1" t="str">
        <f>""</f>
        <v/>
      </c>
      <c r="C660" s="1" t="str">
        <f>"Lethbridge Kyodokan Judo Club"</f>
        <v>Lethbridge Kyodokan Judo Club</v>
      </c>
      <c r="D660" s="1" t="str">
        <f>"AB"</f>
        <v>AB</v>
      </c>
      <c r="E660" s="1" t="str">
        <f>"Alberta"</f>
        <v>Alberta</v>
      </c>
      <c r="F660" s="1" t="str">
        <f>"Carter"</f>
        <v>Carter</v>
      </c>
      <c r="G660" s="1" t="str">
        <f>"Althouse"</f>
        <v>Althouse</v>
      </c>
      <c r="H660" s="1" t="str">
        <f>"0188735"</f>
        <v>0188735</v>
      </c>
      <c r="I660" s="1" t="str">
        <f t="shared" si="93"/>
        <v>M</v>
      </c>
      <c r="J660" s="2">
        <v>2004</v>
      </c>
      <c r="K660" s="1" t="str">
        <f>"3k"</f>
        <v>3k</v>
      </c>
      <c r="L660" s="1" t="s">
        <v>111</v>
      </c>
      <c r="M660" s="1" t="str">
        <f t="shared" si="94"/>
        <v>-66</v>
      </c>
      <c r="N660" s="1" t="str">
        <f>""</f>
        <v/>
      </c>
      <c r="O660" s="1">
        <v>2</v>
      </c>
      <c r="P660" s="1"/>
      <c r="Q660" t="s">
        <v>114</v>
      </c>
    </row>
    <row r="661" spans="1:17" x14ac:dyDescent="0.25">
      <c r="A661" t="str">
        <f>"2018-10-05 15:23:42"</f>
        <v>2018-10-05 15:23:42</v>
      </c>
      <c r="B661" s="1" t="str">
        <f>""</f>
        <v/>
      </c>
      <c r="C661" s="1" t="str">
        <f>"Club de judo Shidokan inc."</f>
        <v>Club de judo Shidokan inc.</v>
      </c>
      <c r="D661" s="1" t="str">
        <f>"QC"</f>
        <v>QC</v>
      </c>
      <c r="E661" s="1" t="str">
        <f>"Quebec"</f>
        <v>Quebec</v>
      </c>
      <c r="F661" s="1" t="str">
        <f>"Christopher"</f>
        <v>Christopher</v>
      </c>
      <c r="G661" s="1" t="str">
        <f>"Blouin"</f>
        <v>Blouin</v>
      </c>
      <c r="H661" s="1" t="str">
        <f>"0167531"</f>
        <v>0167531</v>
      </c>
      <c r="I661" s="1" t="str">
        <f t="shared" si="93"/>
        <v>M</v>
      </c>
      <c r="J661" s="2">
        <v>2005</v>
      </c>
      <c r="K661" s="1" t="str">
        <f>"3k"</f>
        <v>3k</v>
      </c>
      <c r="L661" s="1" t="str">
        <f t="shared" ref="L661:L669" si="95">"U16"</f>
        <v>U16</v>
      </c>
      <c r="M661" s="1" t="str">
        <f t="shared" si="94"/>
        <v>-66</v>
      </c>
      <c r="N661" s="1" t="str">
        <f>""</f>
        <v/>
      </c>
      <c r="O661" s="1">
        <v>1</v>
      </c>
      <c r="P661" s="1"/>
      <c r="Q661" t="s">
        <v>114</v>
      </c>
    </row>
    <row r="662" spans="1:17" x14ac:dyDescent="0.25">
      <c r="A662" t="str">
        <f>"2018-10-22 00:01:08"</f>
        <v>2018-10-22 00:01:08</v>
      </c>
      <c r="B662" s="1" t="str">
        <f>""</f>
        <v/>
      </c>
      <c r="C662" s="1" t="str">
        <f>"Club de judo Ghishintaido Philippe Davidson"</f>
        <v>Club de judo Ghishintaido Philippe Davidson</v>
      </c>
      <c r="D662" s="1" t="str">
        <f>"QC"</f>
        <v>QC</v>
      </c>
      <c r="E662" s="1" t="str">
        <f>"Quebec"</f>
        <v>Quebec</v>
      </c>
      <c r="F662" s="1" t="str">
        <f>"Xavier"</f>
        <v>Xavier</v>
      </c>
      <c r="G662" s="1" t="str">
        <f>"Bureau"</f>
        <v>Bureau</v>
      </c>
      <c r="H662" s="1" t="str">
        <f>"0189435"</f>
        <v>0189435</v>
      </c>
      <c r="I662" s="1" t="str">
        <f t="shared" si="93"/>
        <v>M</v>
      </c>
      <c r="J662" s="2">
        <v>2005</v>
      </c>
      <c r="K662" s="1" t="str">
        <f>"2k"</f>
        <v>2k</v>
      </c>
      <c r="L662" s="1" t="str">
        <f t="shared" si="95"/>
        <v>U16</v>
      </c>
      <c r="M662" s="1" t="str">
        <f t="shared" si="94"/>
        <v>-66</v>
      </c>
      <c r="N662" s="1" t="str">
        <f>""</f>
        <v/>
      </c>
      <c r="O662" s="1">
        <v>1</v>
      </c>
      <c r="P662" s="1"/>
      <c r="Q662" t="s">
        <v>114</v>
      </c>
    </row>
    <row r="663" spans="1:17" x14ac:dyDescent="0.25">
      <c r="A663" t="str">
        <f>"2018-10-20 12:09:39"</f>
        <v>2018-10-20 12:09:39</v>
      </c>
      <c r="B663" s="1" t="str">
        <f>""</f>
        <v/>
      </c>
      <c r="C663" s="1" t="str">
        <f>"Club de Judo d'Asbestos-Danville"</f>
        <v>Club de Judo d'Asbestos-Danville</v>
      </c>
      <c r="D663" s="1" t="str">
        <f>"QC"</f>
        <v>QC</v>
      </c>
      <c r="E663" s="1" t="str">
        <f>"Quebec"</f>
        <v>Quebec</v>
      </c>
      <c r="F663" s="1" t="str">
        <f>"Thomas"</f>
        <v>Thomas</v>
      </c>
      <c r="G663" s="1" t="str">
        <f>"Desmarais"</f>
        <v>Desmarais</v>
      </c>
      <c r="H663" s="1" t="str">
        <f>"0175322"</f>
        <v>0175322</v>
      </c>
      <c r="I663" s="1" t="str">
        <f t="shared" si="93"/>
        <v>M</v>
      </c>
      <c r="J663" s="2">
        <v>2004</v>
      </c>
      <c r="K663" s="1" t="str">
        <f>"3k+"</f>
        <v>3k+</v>
      </c>
      <c r="L663" s="1" t="str">
        <f t="shared" si="95"/>
        <v>U16</v>
      </c>
      <c r="M663" s="1" t="str">
        <f t="shared" si="94"/>
        <v>-66</v>
      </c>
      <c r="N663" s="1" t="str">
        <f>""</f>
        <v/>
      </c>
      <c r="O663" s="1">
        <v>1</v>
      </c>
      <c r="P663" s="1"/>
      <c r="Q663" t="s">
        <v>114</v>
      </c>
    </row>
    <row r="664" spans="1:17" x14ac:dyDescent="0.25">
      <c r="B664" s="1" t="str">
        <f>""</f>
        <v/>
      </c>
      <c r="C664" s="1" t="str">
        <f>"Tritton Judo"</f>
        <v>Tritton Judo</v>
      </c>
      <c r="D664" s="1" t="str">
        <f>"QC"</f>
        <v>QC</v>
      </c>
      <c r="E664" s="1" t="str">
        <f>"Quebec"</f>
        <v>Quebec</v>
      </c>
      <c r="F664" s="1" t="str">
        <f>"Yemi"</f>
        <v>Yemi</v>
      </c>
      <c r="G664" s="1" t="str">
        <f>"Diagne"</f>
        <v>Diagne</v>
      </c>
      <c r="H664" s="1" t="str">
        <f>"0235820"</f>
        <v>0235820</v>
      </c>
      <c r="I664" s="1" t="str">
        <f t="shared" si="93"/>
        <v>M</v>
      </c>
      <c r="J664" s="1">
        <v>2005</v>
      </c>
      <c r="K664" s="1" t="s">
        <v>73</v>
      </c>
      <c r="L664" s="1" t="str">
        <f t="shared" si="95"/>
        <v>U16</v>
      </c>
      <c r="M664" s="1" t="str">
        <f t="shared" si="94"/>
        <v>-66</v>
      </c>
      <c r="N664" s="1" t="str">
        <f>""</f>
        <v/>
      </c>
      <c r="O664" s="1"/>
      <c r="P664" s="1"/>
      <c r="Q664" t="s">
        <v>114</v>
      </c>
    </row>
    <row r="665" spans="1:17" x14ac:dyDescent="0.25">
      <c r="B665" s="1" t="str">
        <f>""</f>
        <v/>
      </c>
      <c r="C665" s="1" t="str">
        <f>"Yawara Force Judo"</f>
        <v>Yawara Force Judo</v>
      </c>
      <c r="D665" s="1" t="s">
        <v>106</v>
      </c>
      <c r="E665" s="1" t="s">
        <v>106</v>
      </c>
      <c r="F665" s="1" t="str">
        <f>"Mikhail"</f>
        <v>Mikhail</v>
      </c>
      <c r="G665" s="1" t="str">
        <f>"Ershov"</f>
        <v>Ershov</v>
      </c>
      <c r="H665" s="1" t="str">
        <f>"AutreFederation"</f>
        <v>AutreFederation</v>
      </c>
      <c r="I665" s="1" t="str">
        <f t="shared" si="93"/>
        <v>M</v>
      </c>
      <c r="J665" s="1">
        <v>2004</v>
      </c>
      <c r="K665" s="1" t="s">
        <v>80</v>
      </c>
      <c r="L665" s="1" t="str">
        <f t="shared" si="95"/>
        <v>U16</v>
      </c>
      <c r="M665" s="1" t="str">
        <f t="shared" si="94"/>
        <v>-66</v>
      </c>
      <c r="N665" s="1"/>
      <c r="O665" s="1">
        <v>1</v>
      </c>
      <c r="P665" s="1"/>
      <c r="Q665" t="s">
        <v>114</v>
      </c>
    </row>
    <row r="666" spans="1:17" x14ac:dyDescent="0.25">
      <c r="A666" t="str">
        <f>"2018-10-21 20:02:14"</f>
        <v>2018-10-21 20:02:14</v>
      </c>
      <c r="B666" s="1" t="str">
        <f>""</f>
        <v/>
      </c>
      <c r="C666" s="1" t="str">
        <f>"Club de judo de la vieille capitale"</f>
        <v>Club de judo de la vieille capitale</v>
      </c>
      <c r="D666" s="1" t="str">
        <f t="shared" ref="D666:D673" si="96">"QC"</f>
        <v>QC</v>
      </c>
      <c r="E666" s="1" t="str">
        <f t="shared" ref="E666:E673" si="97">"Quebec"</f>
        <v>Quebec</v>
      </c>
      <c r="F666" s="1" t="str">
        <f>"Xavier"</f>
        <v>Xavier</v>
      </c>
      <c r="G666" s="1" t="str">
        <f>"Godbout"</f>
        <v>Godbout</v>
      </c>
      <c r="H666" s="1" t="str">
        <f>"0198512"</f>
        <v>0198512</v>
      </c>
      <c r="I666" s="1" t="str">
        <f t="shared" si="93"/>
        <v>M</v>
      </c>
      <c r="J666" s="2">
        <v>2004</v>
      </c>
      <c r="K666" s="1" t="str">
        <f>"1k"</f>
        <v>1k</v>
      </c>
      <c r="L666" s="1" t="str">
        <f t="shared" si="95"/>
        <v>U16</v>
      </c>
      <c r="M666" s="1" t="str">
        <f t="shared" si="94"/>
        <v>-66</v>
      </c>
      <c r="N666" s="1" t="str">
        <f>""</f>
        <v/>
      </c>
      <c r="O666" s="1">
        <v>1</v>
      </c>
      <c r="P666" s="1"/>
      <c r="Q666" t="s">
        <v>114</v>
      </c>
    </row>
    <row r="667" spans="1:17" x14ac:dyDescent="0.25">
      <c r="A667" t="str">
        <f>"2018-10-17 18:50:25"</f>
        <v>2018-10-17 18:50:25</v>
      </c>
      <c r="B667" s="1" t="str">
        <f>""</f>
        <v/>
      </c>
      <c r="C667" s="1" t="str">
        <f>"Club de judo Shidokan inc."</f>
        <v>Club de judo Shidokan inc.</v>
      </c>
      <c r="D667" s="1" t="str">
        <f t="shared" si="96"/>
        <v>QC</v>
      </c>
      <c r="E667" s="1" t="str">
        <f t="shared" si="97"/>
        <v>Quebec</v>
      </c>
      <c r="F667" s="1" t="str">
        <f>"Arthur"</f>
        <v>Arthur</v>
      </c>
      <c r="G667" s="1" t="str">
        <f>"Karpukov"</f>
        <v>Karpukov</v>
      </c>
      <c r="H667" s="1" t="str">
        <f>"0233204"</f>
        <v>0233204</v>
      </c>
      <c r="I667" s="1" t="str">
        <f t="shared" si="93"/>
        <v>M</v>
      </c>
      <c r="J667" s="2">
        <v>2005</v>
      </c>
      <c r="K667" s="1" t="str">
        <f>"2k"</f>
        <v>2k</v>
      </c>
      <c r="L667" s="1" t="str">
        <f t="shared" si="95"/>
        <v>U16</v>
      </c>
      <c r="M667" s="1" t="str">
        <f t="shared" si="94"/>
        <v>-66</v>
      </c>
      <c r="N667" s="1" t="str">
        <f>""</f>
        <v/>
      </c>
      <c r="O667" s="1">
        <v>1</v>
      </c>
      <c r="P667" s="1"/>
      <c r="Q667" t="s">
        <v>114</v>
      </c>
    </row>
    <row r="668" spans="1:17" x14ac:dyDescent="0.25">
      <c r="A668" t="str">
        <f>"2018-10-05 15:23:42"</f>
        <v>2018-10-05 15:23:42</v>
      </c>
      <c r="B668" s="1" t="str">
        <f>""</f>
        <v/>
      </c>
      <c r="C668" s="1" t="str">
        <f>"Arts martiaux Budokai inc."</f>
        <v>Arts martiaux Budokai inc.</v>
      </c>
      <c r="D668" s="1" t="str">
        <f t="shared" si="96"/>
        <v>QC</v>
      </c>
      <c r="E668" s="1" t="str">
        <f t="shared" si="97"/>
        <v>Quebec</v>
      </c>
      <c r="F668" s="1" t="str">
        <f>"Ryan"</f>
        <v>Ryan</v>
      </c>
      <c r="G668" s="1" t="str">
        <f>"Kitio-Njiomtio"</f>
        <v>Kitio-Njiomtio</v>
      </c>
      <c r="H668" s="1" t="str">
        <f>"0223422"</f>
        <v>0223422</v>
      </c>
      <c r="I668" s="1" t="str">
        <f t="shared" si="93"/>
        <v>M</v>
      </c>
      <c r="J668" s="2">
        <v>2005</v>
      </c>
      <c r="K668" s="1" t="str">
        <f>"3k"</f>
        <v>3k</v>
      </c>
      <c r="L668" s="1" t="str">
        <f t="shared" si="95"/>
        <v>U16</v>
      </c>
      <c r="M668" s="1" t="str">
        <f t="shared" si="94"/>
        <v>-66</v>
      </c>
      <c r="N668" s="1" t="str">
        <f>""</f>
        <v/>
      </c>
      <c r="O668" s="1">
        <v>1</v>
      </c>
      <c r="P668" s="1"/>
      <c r="Q668" t="s">
        <v>114</v>
      </c>
    </row>
    <row r="669" spans="1:17" x14ac:dyDescent="0.25">
      <c r="A669" t="str">
        <f>"2018-10-24 15:36:21"</f>
        <v>2018-10-24 15:36:21</v>
      </c>
      <c r="B669" s="1" t="str">
        <f>""</f>
        <v/>
      </c>
      <c r="C669" s="1" t="str">
        <f>"Dojo Perrot Shima"</f>
        <v>Dojo Perrot Shima</v>
      </c>
      <c r="D669" s="1" t="str">
        <f t="shared" si="96"/>
        <v>QC</v>
      </c>
      <c r="E669" s="1" t="str">
        <f t="shared" si="97"/>
        <v>Quebec</v>
      </c>
      <c r="F669" s="1" t="str">
        <f>"Jacob"</f>
        <v>Jacob</v>
      </c>
      <c r="G669" s="1" t="str">
        <f>"Lafrance"</f>
        <v>Lafrance</v>
      </c>
      <c r="H669" s="1" t="str">
        <f>"0184797"</f>
        <v>0184797</v>
      </c>
      <c r="I669" s="1" t="str">
        <f t="shared" si="93"/>
        <v>M</v>
      </c>
      <c r="J669" s="2">
        <v>2004</v>
      </c>
      <c r="K669" s="1" t="str">
        <f>"1k"</f>
        <v>1k</v>
      </c>
      <c r="L669" s="1" t="str">
        <f t="shared" si="95"/>
        <v>U16</v>
      </c>
      <c r="M669" s="1" t="str">
        <f t="shared" si="94"/>
        <v>-66</v>
      </c>
      <c r="N669" s="1" t="str">
        <f>""</f>
        <v/>
      </c>
      <c r="O669" s="1">
        <v>1</v>
      </c>
      <c r="P669" s="1"/>
      <c r="Q669" t="s">
        <v>114</v>
      </c>
    </row>
    <row r="670" spans="1:17" x14ac:dyDescent="0.25">
      <c r="A670" t="str">
        <f>"2018-10-21 20:02:14"</f>
        <v>2018-10-21 20:02:14</v>
      </c>
      <c r="B670" s="1" t="str">
        <f>""</f>
        <v/>
      </c>
      <c r="C670" s="1" t="str">
        <f>"Club de judo Métropolitain inc."</f>
        <v>Club de judo Métropolitain inc.</v>
      </c>
      <c r="D670" s="1" t="str">
        <f t="shared" si="96"/>
        <v>QC</v>
      </c>
      <c r="E670" s="1" t="str">
        <f t="shared" si="97"/>
        <v>Quebec</v>
      </c>
      <c r="F670" s="1" t="str">
        <f>"Felix"</f>
        <v>Felix</v>
      </c>
      <c r="G670" s="1" t="str">
        <f>"Mercier Ross"</f>
        <v>Mercier Ross</v>
      </c>
      <c r="H670" s="1" t="str">
        <f>"0204120"</f>
        <v>0204120</v>
      </c>
      <c r="I670" s="1" t="str">
        <f t="shared" si="93"/>
        <v>M</v>
      </c>
      <c r="J670" s="2">
        <v>2004</v>
      </c>
      <c r="K670" s="1" t="str">
        <f>"1k"</f>
        <v>1k</v>
      </c>
      <c r="L670" s="1" t="s">
        <v>111</v>
      </c>
      <c r="M670" s="1" t="str">
        <f t="shared" si="94"/>
        <v>-66</v>
      </c>
      <c r="N670" s="1" t="str">
        <f>""</f>
        <v/>
      </c>
      <c r="O670" s="1">
        <v>2</v>
      </c>
      <c r="P670" s="1"/>
      <c r="Q670" t="s">
        <v>114</v>
      </c>
    </row>
    <row r="671" spans="1:17" x14ac:dyDescent="0.25">
      <c r="A671" t="str">
        <f>"2018-10-26 10:58:00"</f>
        <v>2018-10-26 10:58:00</v>
      </c>
      <c r="B671" s="1" t="str">
        <f>""</f>
        <v/>
      </c>
      <c r="C671" s="1" t="str">
        <f>"Club de judo Shidokan inc."</f>
        <v>Club de judo Shidokan inc.</v>
      </c>
      <c r="D671" s="1" t="str">
        <f t="shared" si="96"/>
        <v>QC</v>
      </c>
      <c r="E671" s="1" t="str">
        <f t="shared" si="97"/>
        <v>Quebec</v>
      </c>
      <c r="F671" s="1" t="str">
        <f>"Jingtong"</f>
        <v>Jingtong</v>
      </c>
      <c r="G671" s="1" t="str">
        <f>"Mo"</f>
        <v>Mo</v>
      </c>
      <c r="H671" s="1" t="str">
        <f>"0198017"</f>
        <v>0198017</v>
      </c>
      <c r="I671" s="1" t="str">
        <f t="shared" si="93"/>
        <v>M</v>
      </c>
      <c r="J671" s="2">
        <v>2004</v>
      </c>
      <c r="K671" s="1" t="str">
        <f>"2k"</f>
        <v>2k</v>
      </c>
      <c r="L671" s="1" t="str">
        <f>"U16"</f>
        <v>U16</v>
      </c>
      <c r="M671" s="1" t="str">
        <f t="shared" si="94"/>
        <v>-66</v>
      </c>
      <c r="N671" s="1" t="str">
        <f>""</f>
        <v/>
      </c>
      <c r="O671" s="1">
        <v>1</v>
      </c>
      <c r="P671" s="1"/>
      <c r="Q671" t="s">
        <v>114</v>
      </c>
    </row>
    <row r="672" spans="1:17" x14ac:dyDescent="0.25">
      <c r="A672" t="str">
        <f>"2018-10-20 22:14:38"</f>
        <v>2018-10-20 22:14:38</v>
      </c>
      <c r="B672" s="1" t="str">
        <f>""</f>
        <v/>
      </c>
      <c r="C672" s="1" t="str">
        <f>"Club de judo Shidokan inc."</f>
        <v>Club de judo Shidokan inc.</v>
      </c>
      <c r="D672" s="1" t="str">
        <f t="shared" si="96"/>
        <v>QC</v>
      </c>
      <c r="E672" s="1" t="str">
        <f t="shared" si="97"/>
        <v>Quebec</v>
      </c>
      <c r="F672" s="1" t="str">
        <f>"Jeremie"</f>
        <v>Jeremie</v>
      </c>
      <c r="G672" s="1" t="str">
        <f>"Ngombi"</f>
        <v>Ngombi</v>
      </c>
      <c r="H672" s="1" t="str">
        <f>"0178452"</f>
        <v>0178452</v>
      </c>
      <c r="I672" s="1" t="str">
        <f t="shared" si="93"/>
        <v>M</v>
      </c>
      <c r="J672" s="2">
        <v>2005</v>
      </c>
      <c r="K672" s="1" t="str">
        <f>"2k"</f>
        <v>2k</v>
      </c>
      <c r="L672" s="1" t="str">
        <f>"U16"</f>
        <v>U16</v>
      </c>
      <c r="M672" s="1" t="str">
        <f t="shared" si="94"/>
        <v>-66</v>
      </c>
      <c r="N672" s="1" t="str">
        <f>""</f>
        <v/>
      </c>
      <c r="O672" s="1">
        <v>1</v>
      </c>
      <c r="P672" s="1"/>
      <c r="Q672" t="s">
        <v>114</v>
      </c>
    </row>
    <row r="673" spans="1:17" x14ac:dyDescent="0.25">
      <c r="A673" t="str">
        <f>"2018-10-17 18:50:25"</f>
        <v>2018-10-17 18:50:25</v>
      </c>
      <c r="B673" s="1" t="str">
        <f>""</f>
        <v/>
      </c>
      <c r="C673" s="1" t="str">
        <f>"Club judokas Jonquière inc."</f>
        <v>Club judokas Jonquière inc.</v>
      </c>
      <c r="D673" s="1" t="str">
        <f t="shared" si="96"/>
        <v>QC</v>
      </c>
      <c r="E673" s="1" t="str">
        <f t="shared" si="97"/>
        <v>Quebec</v>
      </c>
      <c r="F673" s="1" t="str">
        <f>"Isaac"</f>
        <v>Isaac</v>
      </c>
      <c r="G673" s="1" t="str">
        <f>"Savard"</f>
        <v>Savard</v>
      </c>
      <c r="H673" s="1" t="str">
        <f>"0175985"</f>
        <v>0175985</v>
      </c>
      <c r="I673" s="1" t="str">
        <f t="shared" si="93"/>
        <v>M</v>
      </c>
      <c r="J673" s="2">
        <v>2004</v>
      </c>
      <c r="K673" s="1" t="str">
        <f>"1k"</f>
        <v>1k</v>
      </c>
      <c r="L673" s="1" t="str">
        <f>"U16"</f>
        <v>U16</v>
      </c>
      <c r="M673" s="1" t="str">
        <f t="shared" si="94"/>
        <v>-66</v>
      </c>
      <c r="N673" s="1" t="str">
        <f>""</f>
        <v/>
      </c>
      <c r="O673" s="1">
        <v>1</v>
      </c>
      <c r="P673" s="1"/>
      <c r="Q673" t="s">
        <v>114</v>
      </c>
    </row>
    <row r="674" spans="1:17" x14ac:dyDescent="0.25">
      <c r="A674" t="str">
        <f>"2018-10-21 20:07:39"</f>
        <v>2018-10-21 20:07:39</v>
      </c>
      <c r="B674" s="1" t="str">
        <f>""</f>
        <v/>
      </c>
      <c r="C674" s="1" t="str">
        <f>"Asahi Judo Club"</f>
        <v>Asahi Judo Club</v>
      </c>
      <c r="D674" s="1" t="str">
        <f>"ON"</f>
        <v>ON</v>
      </c>
      <c r="E674" s="1" t="str">
        <f>"Ontario"</f>
        <v>Ontario</v>
      </c>
      <c r="F674" s="1" t="str">
        <f>"Thomas"</f>
        <v>Thomas</v>
      </c>
      <c r="G674" s="1" t="str">
        <f>"Sparkes"</f>
        <v>Sparkes</v>
      </c>
      <c r="H674" s="1" t="str">
        <f>"0177382"</f>
        <v>0177382</v>
      </c>
      <c r="I674" s="1" t="str">
        <f t="shared" si="93"/>
        <v>M</v>
      </c>
      <c r="J674" s="2">
        <v>2004</v>
      </c>
      <c r="K674" s="1" t="str">
        <f>"1k"</f>
        <v>1k</v>
      </c>
      <c r="L674" s="1" t="s">
        <v>111</v>
      </c>
      <c r="M674" s="1" t="str">
        <f t="shared" si="94"/>
        <v>-66</v>
      </c>
      <c r="N674" s="1" t="str">
        <f>""</f>
        <v/>
      </c>
      <c r="O674" s="1">
        <v>2</v>
      </c>
      <c r="P674" s="1"/>
      <c r="Q674" t="s">
        <v>114</v>
      </c>
    </row>
    <row r="675" spans="1:17" x14ac:dyDescent="0.25">
      <c r="A675" t="str">
        <f>"2018-10-19 16:04:36"</f>
        <v>2018-10-19 16:04:36</v>
      </c>
      <c r="B675" s="1" t="str">
        <f>""</f>
        <v/>
      </c>
      <c r="C675" s="1" t="str">
        <f>"Atlantic Training Center"</f>
        <v>Atlantic Training Center</v>
      </c>
      <c r="D675" s="1" t="str">
        <f>"NS"</f>
        <v>NS</v>
      </c>
      <c r="E675" s="1" t="str">
        <f>"Nova Scotia"</f>
        <v>Nova Scotia</v>
      </c>
      <c r="F675" s="1" t="str">
        <f>"Connor"</f>
        <v>Connor</v>
      </c>
      <c r="G675" s="1" t="str">
        <f>"Steele"</f>
        <v>Steele</v>
      </c>
      <c r="H675" s="1" t="str">
        <f>"0168674"</f>
        <v>0168674</v>
      </c>
      <c r="I675" s="1" t="str">
        <f t="shared" si="93"/>
        <v>M</v>
      </c>
      <c r="J675" s="2">
        <v>2004</v>
      </c>
      <c r="K675" s="1" t="str">
        <f>"2k"</f>
        <v>2k</v>
      </c>
      <c r="L675" s="1" t="str">
        <f>"U16"</f>
        <v>U16</v>
      </c>
      <c r="M675" s="1" t="str">
        <f t="shared" si="94"/>
        <v>-66</v>
      </c>
      <c r="N675" s="1" t="str">
        <f>""</f>
        <v/>
      </c>
      <c r="O675" s="1">
        <v>1</v>
      </c>
      <c r="P675" s="1"/>
      <c r="Q675" t="s">
        <v>114</v>
      </c>
    </row>
    <row r="676" spans="1:17" x14ac:dyDescent="0.25">
      <c r="A676" t="str">
        <f>"2018-10-22 00:01:08"</f>
        <v>2018-10-22 00:01:08</v>
      </c>
      <c r="B676" s="1" t="str">
        <f>""</f>
        <v/>
      </c>
      <c r="C676" s="1" t="str">
        <f>"Académie de Judo de Sept-Iles Inc."</f>
        <v>Académie de Judo de Sept-Iles Inc.</v>
      </c>
      <c r="D676" s="1" t="str">
        <f>"QC"</f>
        <v>QC</v>
      </c>
      <c r="E676" s="1" t="str">
        <f>"Quebec"</f>
        <v>Quebec</v>
      </c>
      <c r="F676" s="1" t="str">
        <f>"Francis"</f>
        <v>Francis</v>
      </c>
      <c r="G676" s="1" t="str">
        <f>"Villeneuve"</f>
        <v>Villeneuve</v>
      </c>
      <c r="H676" s="1" t="str">
        <f>"0198249"</f>
        <v>0198249</v>
      </c>
      <c r="I676" s="1" t="str">
        <f t="shared" si="93"/>
        <v>M</v>
      </c>
      <c r="J676" s="2">
        <v>2005</v>
      </c>
      <c r="K676" s="1" t="str">
        <f>"2k"</f>
        <v>2k</v>
      </c>
      <c r="L676" s="1" t="str">
        <f>"U16"</f>
        <v>U16</v>
      </c>
      <c r="M676" s="1" t="str">
        <f t="shared" si="94"/>
        <v>-66</v>
      </c>
      <c r="N676" s="1" t="str">
        <f>""</f>
        <v/>
      </c>
      <c r="O676" s="1">
        <v>1</v>
      </c>
      <c r="P676" s="1"/>
      <c r="Q676" t="s">
        <v>114</v>
      </c>
    </row>
    <row r="677" spans="1:17" x14ac:dyDescent="0.25">
      <c r="A677" t="str">
        <f>"2018-10-06 08:24:52"</f>
        <v>2018-10-06 08:24:52</v>
      </c>
      <c r="B677" s="1" t="str">
        <f>""</f>
        <v/>
      </c>
      <c r="C677" s="4" t="str">
        <f>"Universal Judo"</f>
        <v>Universal Judo</v>
      </c>
      <c r="D677" s="4" t="s">
        <v>106</v>
      </c>
      <c r="E677" s="4" t="str">
        <f>"Texas"</f>
        <v>Texas</v>
      </c>
      <c r="F677" s="4" t="str">
        <f>"Taylor"</f>
        <v>Taylor</v>
      </c>
      <c r="G677" s="4" t="str">
        <f>"Weber"</f>
        <v>Weber</v>
      </c>
      <c r="H677" s="4" t="str">
        <f>"AutreFederation"</f>
        <v>AutreFederation</v>
      </c>
      <c r="I677" s="4" t="str">
        <f t="shared" si="93"/>
        <v>M</v>
      </c>
      <c r="J677" s="5">
        <v>2001</v>
      </c>
      <c r="K677" s="4" t="str">
        <f>"1D"</f>
        <v>1D</v>
      </c>
      <c r="L677" s="4" t="s">
        <v>111</v>
      </c>
      <c r="M677" s="4" t="str">
        <f t="shared" si="94"/>
        <v>-66</v>
      </c>
      <c r="N677" s="4" t="str">
        <f>""</f>
        <v/>
      </c>
      <c r="O677" s="4">
        <v>2</v>
      </c>
      <c r="P677" s="4" t="s">
        <v>113</v>
      </c>
      <c r="Q677" t="s">
        <v>114</v>
      </c>
    </row>
    <row r="678" spans="1:17" x14ac:dyDescent="0.25">
      <c r="A678" t="str">
        <f>"2018-10-17 22:16:07"</f>
        <v>2018-10-17 22:16:07</v>
      </c>
      <c r="B678" s="1" t="str">
        <f>""</f>
        <v/>
      </c>
      <c r="C678" s="1" t="str">
        <f>"Asahi Judo Club"</f>
        <v>Asahi Judo Club</v>
      </c>
      <c r="D678" s="1" t="str">
        <f>"ON"</f>
        <v>ON</v>
      </c>
      <c r="E678" s="1" t="str">
        <f>"Ontario"</f>
        <v>Ontario</v>
      </c>
      <c r="F678" s="1" t="str">
        <f>"Emma"</f>
        <v>Emma</v>
      </c>
      <c r="G678" s="1" t="str">
        <f>"Blake"</f>
        <v>Blake</v>
      </c>
      <c r="H678" s="1" t="str">
        <f>"0175426"</f>
        <v>0175426</v>
      </c>
      <c r="I678" s="1" t="str">
        <f>"F"</f>
        <v>F</v>
      </c>
      <c r="J678" s="2">
        <v>2004</v>
      </c>
      <c r="K678" s="1" t="str">
        <f>"1k"</f>
        <v>1k</v>
      </c>
      <c r="L678" s="1" t="s">
        <v>111</v>
      </c>
      <c r="M678" s="1" t="str">
        <f>"-70"</f>
        <v>-70</v>
      </c>
      <c r="N678" s="1" t="str">
        <f>"-70"</f>
        <v>-70</v>
      </c>
      <c r="O678" s="1">
        <v>2</v>
      </c>
      <c r="P678" s="1"/>
      <c r="Q678" t="s">
        <v>283</v>
      </c>
    </row>
    <row r="679" spans="1:17" x14ac:dyDescent="0.25">
      <c r="A679" t="str">
        <f>"2018-10-12 23:18:35"</f>
        <v>2018-10-12 23:18:35</v>
      </c>
      <c r="B679" s="1" t="str">
        <f>""</f>
        <v/>
      </c>
      <c r="C679" s="1" t="str">
        <f>"Club de judo Ghishintaido Philippe Davidson"</f>
        <v>Club de judo Ghishintaido Philippe Davidson</v>
      </c>
      <c r="D679" s="1" t="str">
        <f>"QC"</f>
        <v>QC</v>
      </c>
      <c r="E679" s="1" t="str">
        <f>"Quebec"</f>
        <v>Quebec</v>
      </c>
      <c r="F679" s="1" t="str">
        <f>"Kathie"</f>
        <v>Kathie</v>
      </c>
      <c r="G679" s="1" t="str">
        <f>"Bourque"</f>
        <v>Bourque</v>
      </c>
      <c r="H679" s="1" t="str">
        <f>"0224303"</f>
        <v>0224303</v>
      </c>
      <c r="I679" s="1" t="str">
        <f>"F"</f>
        <v>F</v>
      </c>
      <c r="J679" s="2">
        <v>2005</v>
      </c>
      <c r="K679" s="1" t="str">
        <f>"3k"</f>
        <v>3k</v>
      </c>
      <c r="L679" s="1" t="str">
        <f>"U16"</f>
        <v>U16</v>
      </c>
      <c r="M679" s="1" t="str">
        <f>"-70"</f>
        <v>-70</v>
      </c>
      <c r="N679" s="1" t="str">
        <f>""</f>
        <v/>
      </c>
      <c r="O679" s="1">
        <v>1</v>
      </c>
      <c r="P679" s="1"/>
      <c r="Q679" t="s">
        <v>283</v>
      </c>
    </row>
    <row r="680" spans="1:17" x14ac:dyDescent="0.25">
      <c r="A680" t="str">
        <f>"2018-10-19 21:20:07"</f>
        <v>2018-10-19 21:20:07</v>
      </c>
      <c r="B680" s="1" t="str">
        <f>"2018-10-25 21:25:56"</f>
        <v>2018-10-25 21:25:56</v>
      </c>
      <c r="C680" s="1" t="str">
        <f>"Kokushikai Judo"</f>
        <v>Kokushikai Judo</v>
      </c>
      <c r="D680" s="1" t="str">
        <f>"BC"</f>
        <v>BC</v>
      </c>
      <c r="E680" s="1" t="str">
        <f>"British Columbia"</f>
        <v>British Columbia</v>
      </c>
      <c r="F680" s="1" t="str">
        <f>"Mira"</f>
        <v>Mira</v>
      </c>
      <c r="G680" s="1" t="str">
        <f>"Calder"</f>
        <v>Calder</v>
      </c>
      <c r="H680" s="1" t="str">
        <f>"0199248"</f>
        <v>0199248</v>
      </c>
      <c r="I680" s="1" t="str">
        <f>"F"</f>
        <v>F</v>
      </c>
      <c r="J680" s="2">
        <v>2004</v>
      </c>
      <c r="K680" s="1" t="str">
        <f>"2k"</f>
        <v>2k</v>
      </c>
      <c r="L680" s="1" t="s">
        <v>111</v>
      </c>
      <c r="M680" s="1" t="str">
        <f>"-70"</f>
        <v>-70</v>
      </c>
      <c r="N680" s="1" t="str">
        <f>""</f>
        <v/>
      </c>
      <c r="O680" s="1">
        <v>2</v>
      </c>
      <c r="P680" s="1"/>
      <c r="Q680" t="s">
        <v>283</v>
      </c>
    </row>
    <row r="681" spans="1:17" x14ac:dyDescent="0.25">
      <c r="A681" t="str">
        <f>"2018-10-19 09:35:10"</f>
        <v>2018-10-19 09:35:10</v>
      </c>
      <c r="B681" s="1" t="str">
        <f>""</f>
        <v/>
      </c>
      <c r="C681" s="1" t="str">
        <f>"Hoku Sei Kan Judo Club"</f>
        <v>Hoku Sei Kan Judo Club</v>
      </c>
      <c r="D681" s="1" t="str">
        <f>"AB"</f>
        <v>AB</v>
      </c>
      <c r="E681" s="1" t="str">
        <f>"Alberta"</f>
        <v>Alberta</v>
      </c>
      <c r="F681" s="1" t="str">
        <f>"Mattea"</f>
        <v>Mattea</v>
      </c>
      <c r="G681" s="1" t="str">
        <f>"Seitz"</f>
        <v>Seitz</v>
      </c>
      <c r="H681" s="1" t="str">
        <f>"0208908"</f>
        <v>0208908</v>
      </c>
      <c r="I681" s="1" t="str">
        <f>"F"</f>
        <v>F</v>
      </c>
      <c r="J681" s="2">
        <v>2005</v>
      </c>
      <c r="K681" s="1" t="str">
        <f>"3k"</f>
        <v>3k</v>
      </c>
      <c r="L681" s="1" t="str">
        <f>"U16"</f>
        <v>U16</v>
      </c>
      <c r="M681" s="1" t="str">
        <f>"-70"</f>
        <v>-70</v>
      </c>
      <c r="N681" s="1" t="str">
        <f>""</f>
        <v/>
      </c>
      <c r="O681" s="1">
        <v>1</v>
      </c>
      <c r="P681" s="1"/>
      <c r="Q681" t="s">
        <v>283</v>
      </c>
    </row>
    <row r="682" spans="1:17" x14ac:dyDescent="0.25">
      <c r="A682" t="str">
        <f>"2018-10-20 18:00:51"</f>
        <v>2018-10-20 18:00:51</v>
      </c>
      <c r="B682" s="1" t="str">
        <f>""</f>
        <v/>
      </c>
      <c r="C682" s="1" t="str">
        <f>"Club de judo Saint-Hyacinthe Inc."</f>
        <v>Club de judo Saint-Hyacinthe Inc.</v>
      </c>
      <c r="D682" s="1" t="str">
        <f>"QC"</f>
        <v>QC</v>
      </c>
      <c r="E682" s="1" t="str">
        <f>"Quebec"</f>
        <v>Quebec</v>
      </c>
      <c r="F682" s="1" t="str">
        <f>"Faniry-Michaël"</f>
        <v>Faniry-Michaël</v>
      </c>
      <c r="G682" s="1" t="str">
        <f>"Adrianmanana"</f>
        <v>Adrianmanana</v>
      </c>
      <c r="H682" s="1" t="str">
        <f>"0171577"</f>
        <v>0171577</v>
      </c>
      <c r="I682" s="1" t="str">
        <f t="shared" ref="I682:I701" si="98">"M"</f>
        <v>M</v>
      </c>
      <c r="J682" s="2">
        <v>2004</v>
      </c>
      <c r="K682" s="1" t="str">
        <f>"2k"</f>
        <v>2k</v>
      </c>
      <c r="L682" s="1" t="str">
        <f>"U16"</f>
        <v>U16</v>
      </c>
      <c r="M682" s="1" t="str">
        <f t="shared" ref="M682:M694" si="99">"-73"</f>
        <v>-73</v>
      </c>
      <c r="N682" s="1" t="str">
        <f>""</f>
        <v/>
      </c>
      <c r="O682" s="1">
        <v>1</v>
      </c>
      <c r="P682" s="1"/>
      <c r="Q682" t="s">
        <v>284</v>
      </c>
    </row>
    <row r="683" spans="1:17" x14ac:dyDescent="0.25">
      <c r="A683" t="str">
        <f>"2018-10-24 20:29:16"</f>
        <v>2018-10-24 20:29:16</v>
      </c>
      <c r="B683" s="1" t="s">
        <v>285</v>
      </c>
      <c r="C683" s="1" t="str">
        <f>"Club de judo Shidokan inc."</f>
        <v>Club de judo Shidokan inc.</v>
      </c>
      <c r="D683" s="1" t="str">
        <f>"QC"</f>
        <v>QC</v>
      </c>
      <c r="E683" s="1" t="str">
        <f>"Québec (Canada)"</f>
        <v>Québec (Canada)</v>
      </c>
      <c r="F683" s="1" t="str">
        <f>"Munkhjin"</f>
        <v>Munkhjin</v>
      </c>
      <c r="G683" s="1" t="str">
        <f>"Batdorj"</f>
        <v>Batdorj</v>
      </c>
      <c r="H683" s="1" t="str">
        <f>"0181144"</f>
        <v>0181144</v>
      </c>
      <c r="I683" s="1" t="str">
        <f t="shared" si="98"/>
        <v>M</v>
      </c>
      <c r="J683" s="2">
        <v>2004</v>
      </c>
      <c r="K683" s="1" t="str">
        <f>"1k"</f>
        <v>1k</v>
      </c>
      <c r="L683" s="1" t="s">
        <v>111</v>
      </c>
      <c r="M683" s="1" t="str">
        <f t="shared" si="99"/>
        <v>-73</v>
      </c>
      <c r="N683" s="1" t="str">
        <f>""</f>
        <v/>
      </c>
      <c r="O683" s="1">
        <v>2</v>
      </c>
      <c r="P683" s="1"/>
      <c r="Q683" t="s">
        <v>284</v>
      </c>
    </row>
    <row r="684" spans="1:17" x14ac:dyDescent="0.25">
      <c r="A684" t="str">
        <f>"2018-10-20 12:09:39"</f>
        <v>2018-10-20 12:09:39</v>
      </c>
      <c r="B684" s="1" t="str">
        <f>""</f>
        <v/>
      </c>
      <c r="C684" s="1" t="str">
        <f>"Club de judo Seïkidokan inc."</f>
        <v>Club de judo Seïkidokan inc.</v>
      </c>
      <c r="D684" s="1" t="str">
        <f>"QC"</f>
        <v>QC</v>
      </c>
      <c r="E684" s="1" t="str">
        <f>"Quebec"</f>
        <v>Quebec</v>
      </c>
      <c r="F684" s="1" t="str">
        <f>"Eliot"</f>
        <v>Eliot</v>
      </c>
      <c r="G684" s="1" t="str">
        <f>"Beaulac"</f>
        <v>Beaulac</v>
      </c>
      <c r="H684" s="1" t="str">
        <f>"0187998"</f>
        <v>0187998</v>
      </c>
      <c r="I684" s="1" t="str">
        <f t="shared" si="98"/>
        <v>M</v>
      </c>
      <c r="J684" s="2">
        <v>2004</v>
      </c>
      <c r="K684" s="1" t="str">
        <f>"2k+"</f>
        <v>2k+</v>
      </c>
      <c r="L684" s="1" t="str">
        <f t="shared" ref="L684:L692" si="100">"U16"</f>
        <v>U16</v>
      </c>
      <c r="M684" s="1" t="str">
        <f t="shared" si="99"/>
        <v>-73</v>
      </c>
      <c r="N684" s="1" t="str">
        <f>""</f>
        <v/>
      </c>
      <c r="O684" s="1">
        <v>1</v>
      </c>
      <c r="P684" s="1"/>
      <c r="Q684" t="s">
        <v>284</v>
      </c>
    </row>
    <row r="685" spans="1:17" x14ac:dyDescent="0.25">
      <c r="A685" t="str">
        <f>"2018-10-21 20:18:35"</f>
        <v>2018-10-21 20:18:35</v>
      </c>
      <c r="B685" s="1" t="str">
        <f>""</f>
        <v/>
      </c>
      <c r="C685" s="1" t="str">
        <f>"Club de judo Olympique"</f>
        <v>Club de judo Olympique</v>
      </c>
      <c r="D685" s="1" t="str">
        <f>"QC"</f>
        <v>QC</v>
      </c>
      <c r="E685" s="1" t="str">
        <f>"Quebec"</f>
        <v>Quebec</v>
      </c>
      <c r="F685" s="1" t="str">
        <f>"Denis"</f>
        <v>Denis</v>
      </c>
      <c r="G685" s="1" t="str">
        <f>"Ciobanu"</f>
        <v>Ciobanu</v>
      </c>
      <c r="H685" s="1" t="str">
        <f>"0177751"</f>
        <v>0177751</v>
      </c>
      <c r="I685" s="1" t="str">
        <f t="shared" si="98"/>
        <v>M</v>
      </c>
      <c r="J685" s="2">
        <v>2004</v>
      </c>
      <c r="K685" s="1" t="str">
        <f>"3k"</f>
        <v>3k</v>
      </c>
      <c r="L685" s="1" t="str">
        <f t="shared" si="100"/>
        <v>U16</v>
      </c>
      <c r="M685" s="1" t="str">
        <f t="shared" si="99"/>
        <v>-73</v>
      </c>
      <c r="N685" s="1" t="str">
        <f>""</f>
        <v/>
      </c>
      <c r="O685" s="1">
        <v>1</v>
      </c>
      <c r="P685" s="1"/>
      <c r="Q685" t="s">
        <v>284</v>
      </c>
    </row>
    <row r="686" spans="1:17" x14ac:dyDescent="0.25">
      <c r="A686" t="str">
        <f>"2018-10-25 19:24:15"</f>
        <v>2018-10-25 19:24:15</v>
      </c>
      <c r="B686" s="1" t="str">
        <f>""</f>
        <v/>
      </c>
      <c r="C686" s="1" t="str">
        <f>"Takahashi Dojo"</f>
        <v>Takahashi Dojo</v>
      </c>
      <c r="D686" s="1" t="str">
        <f>"ON"</f>
        <v>ON</v>
      </c>
      <c r="E686" s="1" t="str">
        <f>"Ontario"</f>
        <v>Ontario</v>
      </c>
      <c r="F686" s="1" t="str">
        <f>"Hugo"</f>
        <v>Hugo</v>
      </c>
      <c r="G686" s="1" t="str">
        <f>"Delhaye"</f>
        <v>Delhaye</v>
      </c>
      <c r="H686" s="1" t="str">
        <f>"0226564"</f>
        <v>0226564</v>
      </c>
      <c r="I686" s="1" t="str">
        <f t="shared" si="98"/>
        <v>M</v>
      </c>
      <c r="J686" s="2">
        <v>2004</v>
      </c>
      <c r="K686" s="1" t="str">
        <f>"2k"</f>
        <v>2k</v>
      </c>
      <c r="L686" s="1" t="str">
        <f t="shared" si="100"/>
        <v>U16</v>
      </c>
      <c r="M686" s="1" t="str">
        <f t="shared" si="99"/>
        <v>-73</v>
      </c>
      <c r="N686" s="1" t="str">
        <f>""</f>
        <v/>
      </c>
      <c r="O686" s="1">
        <v>1</v>
      </c>
      <c r="P686" s="1"/>
      <c r="Q686" t="s">
        <v>284</v>
      </c>
    </row>
    <row r="687" spans="1:17" x14ac:dyDescent="0.25">
      <c r="A687" t="str">
        <f>"2018-10-08 11:52:37"</f>
        <v>2018-10-08 11:52:37</v>
      </c>
      <c r="B687" s="1" t="str">
        <f>""</f>
        <v/>
      </c>
      <c r="C687" s="1" t="str">
        <f>"Club de judo Vallée du Richelieu"</f>
        <v>Club de judo Vallée du Richelieu</v>
      </c>
      <c r="D687" s="1" t="str">
        <f>"QC"</f>
        <v>QC</v>
      </c>
      <c r="E687" s="1" t="str">
        <f>"Quebec"</f>
        <v>Quebec</v>
      </c>
      <c r="F687" s="1" t="str">
        <f>"Jeremy"</f>
        <v>Jeremy</v>
      </c>
      <c r="G687" s="1" t="str">
        <f>"Durand"</f>
        <v>Durand</v>
      </c>
      <c r="H687" s="1" t="str">
        <f>"0189853"</f>
        <v>0189853</v>
      </c>
      <c r="I687" s="1" t="str">
        <f t="shared" si="98"/>
        <v>M</v>
      </c>
      <c r="J687" s="2">
        <v>2005</v>
      </c>
      <c r="K687" s="1" t="str">
        <f>"2k"</f>
        <v>2k</v>
      </c>
      <c r="L687" s="1" t="str">
        <f t="shared" si="100"/>
        <v>U16</v>
      </c>
      <c r="M687" s="1" t="str">
        <f t="shared" si="99"/>
        <v>-73</v>
      </c>
      <c r="N687" s="1" t="str">
        <f>""</f>
        <v/>
      </c>
      <c r="O687" s="1">
        <v>1</v>
      </c>
      <c r="P687" s="1"/>
      <c r="Q687" t="s">
        <v>284</v>
      </c>
    </row>
    <row r="688" spans="1:17" x14ac:dyDescent="0.25">
      <c r="A688" t="str">
        <f>"2018-10-15 22:55:31"</f>
        <v>2018-10-15 22:55:31</v>
      </c>
      <c r="B688" s="1" t="str">
        <f>""</f>
        <v/>
      </c>
      <c r="C688" s="1" t="str">
        <f>"Club de judo Vallée du Richelieu"</f>
        <v>Club de judo Vallée du Richelieu</v>
      </c>
      <c r="D688" s="1" t="str">
        <f>"QC"</f>
        <v>QC</v>
      </c>
      <c r="E688" s="1" t="str">
        <f>"Quebec"</f>
        <v>Quebec</v>
      </c>
      <c r="F688" s="1" t="str">
        <f>"Vincent"</f>
        <v>Vincent</v>
      </c>
      <c r="G688" s="1" t="str">
        <f>"Durand"</f>
        <v>Durand</v>
      </c>
      <c r="H688" s="1" t="str">
        <f>"0189852"</f>
        <v>0189852</v>
      </c>
      <c r="I688" s="1" t="str">
        <f t="shared" si="98"/>
        <v>M</v>
      </c>
      <c r="J688" s="2">
        <v>2005</v>
      </c>
      <c r="K688" s="1" t="str">
        <f>"2k+"</f>
        <v>2k+</v>
      </c>
      <c r="L688" s="1" t="str">
        <f t="shared" si="100"/>
        <v>U16</v>
      </c>
      <c r="M688" s="1" t="str">
        <f t="shared" si="99"/>
        <v>-73</v>
      </c>
      <c r="N688" s="1" t="str">
        <f>""</f>
        <v/>
      </c>
      <c r="O688" s="1">
        <v>1</v>
      </c>
      <c r="P688" s="1"/>
      <c r="Q688" t="s">
        <v>284</v>
      </c>
    </row>
    <row r="689" spans="1:17" x14ac:dyDescent="0.25">
      <c r="B689" s="1" t="str">
        <f>""</f>
        <v/>
      </c>
      <c r="C689" s="1" t="str">
        <f>"Challenge Sports Club"</f>
        <v>Challenge Sports Club</v>
      </c>
      <c r="D689" s="1" t="str">
        <f>"ON"</f>
        <v>ON</v>
      </c>
      <c r="E689" s="1" t="str">
        <f>"Ontario"</f>
        <v>Ontario</v>
      </c>
      <c r="F689" s="1" t="str">
        <f>"Leo"</f>
        <v>Leo</v>
      </c>
      <c r="G689" s="1" t="str">
        <f>"Koudriavitski"</f>
        <v>Koudriavitski</v>
      </c>
      <c r="H689" s="1" t="str">
        <f>"0154764"</f>
        <v>0154764</v>
      </c>
      <c r="I689" s="1" t="str">
        <f t="shared" si="98"/>
        <v>M</v>
      </c>
      <c r="J689" s="1">
        <v>2004</v>
      </c>
      <c r="K689" s="1" t="s">
        <v>73</v>
      </c>
      <c r="L689" s="1" t="str">
        <f t="shared" si="100"/>
        <v>U16</v>
      </c>
      <c r="M689" s="1" t="str">
        <f t="shared" si="99"/>
        <v>-73</v>
      </c>
      <c r="N689" s="1" t="str">
        <f>""</f>
        <v/>
      </c>
      <c r="O689" s="1"/>
      <c r="P689" s="1"/>
      <c r="Q689" t="s">
        <v>284</v>
      </c>
    </row>
    <row r="690" spans="1:17" x14ac:dyDescent="0.25">
      <c r="A690" t="str">
        <f>"2018-10-13 11:34:26"</f>
        <v>2018-10-13 11:34:26</v>
      </c>
      <c r="B690" s="1" t="str">
        <f>""</f>
        <v/>
      </c>
      <c r="C690" s="1" t="str">
        <f>"Club de Judo d'Asbestos-Danville"</f>
        <v>Club de Judo d'Asbestos-Danville</v>
      </c>
      <c r="D690" s="1" t="str">
        <f>"QC"</f>
        <v>QC</v>
      </c>
      <c r="E690" s="1" t="str">
        <f>"Quebec"</f>
        <v>Quebec</v>
      </c>
      <c r="F690" s="1" t="str">
        <f>"Justin"</f>
        <v>Justin</v>
      </c>
      <c r="G690" s="1" t="str">
        <f>"Lefebvre"</f>
        <v>Lefebvre</v>
      </c>
      <c r="H690" s="1" t="str">
        <f>"0206504"</f>
        <v>0206504</v>
      </c>
      <c r="I690" s="1" t="str">
        <f t="shared" si="98"/>
        <v>M</v>
      </c>
      <c r="J690" s="2">
        <v>2005</v>
      </c>
      <c r="K690" s="1" t="str">
        <f>"3k"</f>
        <v>3k</v>
      </c>
      <c r="L690" s="1" t="str">
        <f t="shared" si="100"/>
        <v>U16</v>
      </c>
      <c r="M690" s="1" t="str">
        <f t="shared" si="99"/>
        <v>-73</v>
      </c>
      <c r="N690" s="1" t="str">
        <f>""</f>
        <v/>
      </c>
      <c r="O690" s="1">
        <v>1</v>
      </c>
      <c r="P690" s="1"/>
      <c r="Q690" t="s">
        <v>284</v>
      </c>
    </row>
    <row r="691" spans="1:17" x14ac:dyDescent="0.25">
      <c r="A691" t="str">
        <f>"2018-10-18 12:36:17"</f>
        <v>2018-10-18 12:36:17</v>
      </c>
      <c r="B691" s="1" t="str">
        <f>""</f>
        <v/>
      </c>
      <c r="C691" s="1" t="str">
        <f>"Challenge Sports Club"</f>
        <v>Challenge Sports Club</v>
      </c>
      <c r="D691" s="1" t="str">
        <f>"ON"</f>
        <v>ON</v>
      </c>
      <c r="E691" s="1" t="str">
        <f>"Ontario"</f>
        <v>Ontario</v>
      </c>
      <c r="F691" s="1" t="str">
        <f>"Nick"</f>
        <v>Nick</v>
      </c>
      <c r="G691" s="1" t="str">
        <f>"Luchkin"</f>
        <v>Luchkin</v>
      </c>
      <c r="H691" s="1" t="str">
        <f>"0181819"</f>
        <v>0181819</v>
      </c>
      <c r="I691" s="1" t="str">
        <f t="shared" si="98"/>
        <v>M</v>
      </c>
      <c r="J691" s="2">
        <v>2004</v>
      </c>
      <c r="K691" s="1" t="str">
        <f>"2k"</f>
        <v>2k</v>
      </c>
      <c r="L691" s="1" t="str">
        <f t="shared" si="100"/>
        <v>U16</v>
      </c>
      <c r="M691" s="1" t="str">
        <f t="shared" si="99"/>
        <v>-73</v>
      </c>
      <c r="N691" s="1" t="str">
        <f>""</f>
        <v/>
      </c>
      <c r="O691" s="1">
        <v>1</v>
      </c>
      <c r="P691" s="1"/>
      <c r="Q691" t="s">
        <v>284</v>
      </c>
    </row>
    <row r="692" spans="1:17" x14ac:dyDescent="0.25">
      <c r="A692" t="str">
        <f>"2018-10-21 17:31:07"</f>
        <v>2018-10-21 17:31:07</v>
      </c>
      <c r="B692" s="1" t="str">
        <f>""</f>
        <v/>
      </c>
      <c r="C692" s="1" t="str">
        <f>"Hiro's Judo Club"</f>
        <v>Hiro's Judo Club</v>
      </c>
      <c r="D692" s="1" t="str">
        <f>"AB"</f>
        <v>AB</v>
      </c>
      <c r="E692" s="1" t="str">
        <f>"Alberta"</f>
        <v>Alberta</v>
      </c>
      <c r="F692" s="1" t="str">
        <f>"Andrew"</f>
        <v>Andrew</v>
      </c>
      <c r="G692" s="1" t="str">
        <f>"Micu"</f>
        <v>Micu</v>
      </c>
      <c r="H692" s="1" t="str">
        <f>"0198930"</f>
        <v>0198930</v>
      </c>
      <c r="I692" s="1" t="str">
        <f t="shared" si="98"/>
        <v>M</v>
      </c>
      <c r="J692" s="2">
        <v>2004</v>
      </c>
      <c r="K692" s="1" t="str">
        <f>"2k"</f>
        <v>2k</v>
      </c>
      <c r="L692" s="1" t="str">
        <f t="shared" si="100"/>
        <v>U16</v>
      </c>
      <c r="M692" s="1" t="str">
        <f t="shared" si="99"/>
        <v>-73</v>
      </c>
      <c r="N692" s="1" t="str">
        <f>""</f>
        <v/>
      </c>
      <c r="O692" s="1">
        <v>1</v>
      </c>
      <c r="P692" s="1"/>
      <c r="Q692" t="s">
        <v>284</v>
      </c>
    </row>
    <row r="693" spans="1:17" x14ac:dyDescent="0.25">
      <c r="A693" t="str">
        <f>"2018-10-18 12:36:17"</f>
        <v>2018-10-18 12:36:17</v>
      </c>
      <c r="B693" s="1" t="str">
        <f>""</f>
        <v/>
      </c>
      <c r="C693" s="1" t="str">
        <f>"Burnaby Judo Club"</f>
        <v>Burnaby Judo Club</v>
      </c>
      <c r="D693" s="1" t="str">
        <f>"BC"</f>
        <v>BC</v>
      </c>
      <c r="E693" s="1" t="str">
        <f>"British Columbia"</f>
        <v>British Columbia</v>
      </c>
      <c r="F693" s="1" t="str">
        <f>"Nikola"</f>
        <v>Nikola</v>
      </c>
      <c r="G693" s="1" t="str">
        <f>"Petrovic"</f>
        <v>Petrovic</v>
      </c>
      <c r="H693" s="1" t="str">
        <f>"0205095"</f>
        <v>0205095</v>
      </c>
      <c r="I693" s="1" t="str">
        <f t="shared" si="98"/>
        <v>M</v>
      </c>
      <c r="J693" s="2">
        <v>2004</v>
      </c>
      <c r="K693" s="1" t="str">
        <f>"2k"</f>
        <v>2k</v>
      </c>
      <c r="L693" s="1" t="s">
        <v>111</v>
      </c>
      <c r="M693" s="1" t="str">
        <f t="shared" si="99"/>
        <v>-73</v>
      </c>
      <c r="N693" s="1" t="str">
        <f>""</f>
        <v/>
      </c>
      <c r="O693" s="1">
        <v>2</v>
      </c>
      <c r="P693" s="1"/>
      <c r="Q693" t="s">
        <v>284</v>
      </c>
    </row>
    <row r="694" spans="1:17" x14ac:dyDescent="0.25">
      <c r="A694" t="str">
        <f>"2018-10-25 19:24:15"</f>
        <v>2018-10-25 19:24:15</v>
      </c>
      <c r="B694" s="1" t="str">
        <f>""</f>
        <v/>
      </c>
      <c r="C694" s="1" t="str">
        <f>"Sao Bernardo"</f>
        <v>Sao Bernardo</v>
      </c>
      <c r="D694" s="1" t="s">
        <v>164</v>
      </c>
      <c r="E694" s="1" t="str">
        <f>"Brazil"</f>
        <v>Brazil</v>
      </c>
      <c r="F694" s="1" t="str">
        <f>"Nicolas"</f>
        <v>Nicolas</v>
      </c>
      <c r="G694" s="1" t="str">
        <f>"Puglia"</f>
        <v>Puglia</v>
      </c>
      <c r="H694" s="1" t="str">
        <f>"AutreFederation"</f>
        <v>AutreFederation</v>
      </c>
      <c r="I694" s="1" t="str">
        <f t="shared" si="98"/>
        <v>M</v>
      </c>
      <c r="J694" s="2">
        <v>2004</v>
      </c>
      <c r="K694" s="1" t="str">
        <f>"2k+"</f>
        <v>2k+</v>
      </c>
      <c r="L694" s="1" t="str">
        <f>"U16"</f>
        <v>U16</v>
      </c>
      <c r="M694" s="1" t="str">
        <f t="shared" si="99"/>
        <v>-73</v>
      </c>
      <c r="N694" s="1" t="str">
        <f>""</f>
        <v/>
      </c>
      <c r="O694" s="1">
        <v>1</v>
      </c>
      <c r="P694" s="1"/>
      <c r="Q694" t="s">
        <v>284</v>
      </c>
    </row>
    <row r="695" spans="1:17" x14ac:dyDescent="0.25">
      <c r="B695" s="1" t="str">
        <f>""</f>
        <v/>
      </c>
      <c r="C695" s="1" t="str">
        <f>"Club de Judo Boucherville inc."</f>
        <v>Club de Judo Boucherville inc.</v>
      </c>
      <c r="D695" s="1" t="str">
        <f>"QC"</f>
        <v>QC</v>
      </c>
      <c r="E695" s="1" t="str">
        <f>"Quebec"</f>
        <v>Quebec</v>
      </c>
      <c r="F695" s="1" t="str">
        <f>"Henri"</f>
        <v>Henri</v>
      </c>
      <c r="G695" s="1" t="str">
        <f>"Saumure"</f>
        <v>Saumure</v>
      </c>
      <c r="H695" s="1" t="str">
        <f>"0181797"</f>
        <v>0181797</v>
      </c>
      <c r="I695" s="1" t="str">
        <f t="shared" si="98"/>
        <v>M</v>
      </c>
      <c r="J695" s="2">
        <v>2006</v>
      </c>
      <c r="K695" s="1" t="str">
        <f>"3k+"</f>
        <v>3k+</v>
      </c>
      <c r="L695" s="1" t="s">
        <v>111</v>
      </c>
      <c r="M695" s="1">
        <v>-73</v>
      </c>
      <c r="N695" s="1" t="str">
        <f>""</f>
        <v/>
      </c>
      <c r="O695" s="10">
        <v>2</v>
      </c>
      <c r="P695" s="1" t="s">
        <v>271</v>
      </c>
      <c r="Q695" t="s">
        <v>284</v>
      </c>
    </row>
    <row r="696" spans="1:17" x14ac:dyDescent="0.25">
      <c r="A696" t="str">
        <f>"2018-10-21 20:18:35"</f>
        <v>2018-10-21 20:18:35</v>
      </c>
      <c r="B696" s="1" t="str">
        <f>""</f>
        <v/>
      </c>
      <c r="C696" s="1" t="str">
        <f>"Club de judo Métropolitain inc."</f>
        <v>Club de judo Métropolitain inc.</v>
      </c>
      <c r="D696" s="1" t="str">
        <f>"QC"</f>
        <v>QC</v>
      </c>
      <c r="E696" s="1" t="str">
        <f>"Quebec"</f>
        <v>Quebec</v>
      </c>
      <c r="F696" s="1" t="str">
        <f>"Yuriy"</f>
        <v>Yuriy</v>
      </c>
      <c r="G696" s="1" t="str">
        <f>"Semenyuk"</f>
        <v>Semenyuk</v>
      </c>
      <c r="H696" s="1" t="str">
        <f>"0197665"</f>
        <v>0197665</v>
      </c>
      <c r="I696" s="1" t="str">
        <f t="shared" si="98"/>
        <v>M</v>
      </c>
      <c r="J696" s="2">
        <v>2004</v>
      </c>
      <c r="K696" s="1" t="str">
        <f>"1k"</f>
        <v>1k</v>
      </c>
      <c r="L696" s="1" t="s">
        <v>111</v>
      </c>
      <c r="M696" s="1" t="str">
        <f>"-73"</f>
        <v>-73</v>
      </c>
      <c r="N696" s="1" t="str">
        <f>""</f>
        <v/>
      </c>
      <c r="O696" s="1">
        <v>2</v>
      </c>
      <c r="P696" s="1"/>
      <c r="Q696" t="s">
        <v>284</v>
      </c>
    </row>
    <row r="697" spans="1:17" x14ac:dyDescent="0.25">
      <c r="A697" t="str">
        <f>"2018-10-18 12:29:24"</f>
        <v>2018-10-18 12:29:24</v>
      </c>
      <c r="B697" s="1" t="str">
        <f>""</f>
        <v/>
      </c>
      <c r="C697" s="1" t="str">
        <f>"Hoku Sei Kan Judo Club"</f>
        <v>Hoku Sei Kan Judo Club</v>
      </c>
      <c r="D697" s="1" t="str">
        <f>"AB"</f>
        <v>AB</v>
      </c>
      <c r="E697" s="1" t="str">
        <f>"Alberta"</f>
        <v>Alberta</v>
      </c>
      <c r="F697" s="1" t="str">
        <f>"Maxim"</f>
        <v>Maxim</v>
      </c>
      <c r="G697" s="1" t="str">
        <f>"Zavarzin"</f>
        <v>Zavarzin</v>
      </c>
      <c r="H697" s="1" t="str">
        <f>"0212938"</f>
        <v>0212938</v>
      </c>
      <c r="I697" s="1" t="str">
        <f t="shared" si="98"/>
        <v>M</v>
      </c>
      <c r="J697" s="2">
        <v>2004</v>
      </c>
      <c r="K697" s="1" t="str">
        <f>"3k"</f>
        <v>3k</v>
      </c>
      <c r="L697" s="1" t="str">
        <f>"U16"</f>
        <v>U16</v>
      </c>
      <c r="M697" s="1" t="str">
        <f>"-73"</f>
        <v>-73</v>
      </c>
      <c r="N697" s="1" t="str">
        <f>""</f>
        <v/>
      </c>
      <c r="O697" s="1">
        <v>1</v>
      </c>
      <c r="P697" s="1"/>
      <c r="Q697" t="s">
        <v>284</v>
      </c>
    </row>
    <row r="698" spans="1:17" x14ac:dyDescent="0.25">
      <c r="A698" t="str">
        <f>"2018-10-18 11:37:32"</f>
        <v>2018-10-18 11:37:32</v>
      </c>
      <c r="B698" s="1" t="str">
        <f>""</f>
        <v/>
      </c>
      <c r="C698" s="1" t="str">
        <f>"Club de judo St-Paul l'Ermite"</f>
        <v>Club de judo St-Paul l'Ermite</v>
      </c>
      <c r="D698" s="1" t="str">
        <f>"QC"</f>
        <v>QC</v>
      </c>
      <c r="E698" s="1" t="str">
        <f>"Québec"</f>
        <v>Québec</v>
      </c>
      <c r="F698" s="1" t="str">
        <f>"Ramy"</f>
        <v>Ramy</v>
      </c>
      <c r="G698" s="1" t="str">
        <f>"Aba"</f>
        <v>Aba</v>
      </c>
      <c r="H698" s="1" t="str">
        <f>"0163672"</f>
        <v>0163672</v>
      </c>
      <c r="I698" s="1" t="str">
        <f t="shared" si="98"/>
        <v>M</v>
      </c>
      <c r="J698" s="2">
        <v>2002</v>
      </c>
      <c r="K698" s="1" t="str">
        <f>"1k"</f>
        <v>1k</v>
      </c>
      <c r="L698" s="1" t="str">
        <f>"U18"</f>
        <v>U18</v>
      </c>
      <c r="M698" s="1" t="str">
        <f>"+90"</f>
        <v>+90</v>
      </c>
      <c r="N698" s="1" t="str">
        <f>""</f>
        <v/>
      </c>
      <c r="O698" s="1">
        <v>1</v>
      </c>
      <c r="P698" s="1"/>
      <c r="Q698" t="s">
        <v>286</v>
      </c>
    </row>
    <row r="699" spans="1:17" x14ac:dyDescent="0.25">
      <c r="B699" s="1" t="str">
        <f>""</f>
        <v/>
      </c>
      <c r="C699" s="1" t="str">
        <f>"Tritton Judo"</f>
        <v>Tritton Judo</v>
      </c>
      <c r="D699" s="1" t="str">
        <f>"QC"</f>
        <v>QC</v>
      </c>
      <c r="E699" s="1" t="str">
        <f>"Quebec"</f>
        <v>Quebec</v>
      </c>
      <c r="F699" s="1" t="str">
        <f>"Nick"</f>
        <v>Nick</v>
      </c>
      <c r="G699" s="1" t="str">
        <f>"Cross"</f>
        <v>Cross</v>
      </c>
      <c r="H699" s="1" t="str">
        <f>"0235825"</f>
        <v>0235825</v>
      </c>
      <c r="I699" s="1" t="str">
        <f t="shared" si="98"/>
        <v>M</v>
      </c>
      <c r="J699" s="1">
        <v>2003</v>
      </c>
      <c r="K699" s="1" t="s">
        <v>73</v>
      </c>
      <c r="L699" s="1" t="str">
        <f>"U18"</f>
        <v>U18</v>
      </c>
      <c r="M699" s="1" t="str">
        <f>"+90"</f>
        <v>+90</v>
      </c>
      <c r="N699" s="1" t="str">
        <f>""</f>
        <v/>
      </c>
      <c r="O699" s="1"/>
      <c r="P699" s="1"/>
      <c r="Q699" t="s">
        <v>286</v>
      </c>
    </row>
    <row r="700" spans="1:17" x14ac:dyDescent="0.25">
      <c r="A700" t="str">
        <f>"2018-10-25 14:00:06"</f>
        <v>2018-10-25 14:00:06</v>
      </c>
      <c r="B700" s="1" t="str">
        <f>""</f>
        <v/>
      </c>
      <c r="C700" s="1" t="str">
        <f>"Kam Lake Territorial Centre"</f>
        <v>Kam Lake Territorial Centre</v>
      </c>
      <c r="D700" s="1" t="str">
        <f>"NT"</f>
        <v>NT</v>
      </c>
      <c r="E700" s="1" t="str">
        <f>"Northwest Territories"</f>
        <v>Northwest Territories</v>
      </c>
      <c r="F700" s="1" t="str">
        <f>"Nolan"</f>
        <v>Nolan</v>
      </c>
      <c r="G700" s="1" t="str">
        <f>"Elliot"</f>
        <v>Elliot</v>
      </c>
      <c r="H700" s="1" t="str">
        <f>"0187333"</f>
        <v>0187333</v>
      </c>
      <c r="I700" s="1" t="str">
        <f t="shared" si="98"/>
        <v>M</v>
      </c>
      <c r="J700" s="2">
        <v>2003</v>
      </c>
      <c r="K700" s="1" t="str">
        <f>"2k"</f>
        <v>2k</v>
      </c>
      <c r="L700" s="1" t="str">
        <f>"U18"</f>
        <v>U18</v>
      </c>
      <c r="M700" s="1" t="str">
        <f>"+90"</f>
        <v>+90</v>
      </c>
      <c r="N700" s="1" t="str">
        <f>""</f>
        <v/>
      </c>
      <c r="O700" s="1">
        <v>1</v>
      </c>
      <c r="P700" s="1"/>
      <c r="Q700" t="s">
        <v>286</v>
      </c>
    </row>
    <row r="701" spans="1:17" x14ac:dyDescent="0.25">
      <c r="A701" t="str">
        <f>"2018-10-20 12:16:33"</f>
        <v>2018-10-20 12:16:33</v>
      </c>
      <c r="B701" s="1" t="str">
        <f>""</f>
        <v/>
      </c>
      <c r="C701" s="1" t="str">
        <f>"Toronto Judo Kai"</f>
        <v>Toronto Judo Kai</v>
      </c>
      <c r="D701" s="1" t="str">
        <f>"ON"</f>
        <v>ON</v>
      </c>
      <c r="E701" s="1" t="str">
        <f>"Ontario"</f>
        <v>Ontario</v>
      </c>
      <c r="F701" s="1" t="str">
        <f>"Simon"</f>
        <v>Simon</v>
      </c>
      <c r="G701" s="1" t="str">
        <f>"Popov"</f>
        <v>Popov</v>
      </c>
      <c r="H701" s="1" t="str">
        <f>"0187159"</f>
        <v>0187159</v>
      </c>
      <c r="I701" s="1" t="str">
        <f t="shared" si="98"/>
        <v>M</v>
      </c>
      <c r="J701" s="2">
        <v>2002</v>
      </c>
      <c r="K701" s="1" t="str">
        <f>"1k"</f>
        <v>1k</v>
      </c>
      <c r="L701" s="1" t="str">
        <f>"U18"</f>
        <v>U18</v>
      </c>
      <c r="M701" s="1" t="str">
        <f>"+90"</f>
        <v>+90</v>
      </c>
      <c r="N701" s="1" t="str">
        <f>""</f>
        <v/>
      </c>
      <c r="O701" s="1">
        <v>1</v>
      </c>
      <c r="P701" s="1"/>
      <c r="Q701" t="s">
        <v>286</v>
      </c>
    </row>
    <row r="702" spans="1:17" x14ac:dyDescent="0.25">
      <c r="A702" t="str">
        <f>"2018-10-21 15:09:53"</f>
        <v>2018-10-21 15:09:53</v>
      </c>
      <c r="B702" s="1" t="str">
        <f>""</f>
        <v/>
      </c>
      <c r="C702" s="1" t="str">
        <f>"Judo Ju Shin Kan Laterrière"</f>
        <v>Judo Ju Shin Kan Laterrière</v>
      </c>
      <c r="D702" s="1" t="str">
        <f>"QC"</f>
        <v>QC</v>
      </c>
      <c r="E702" s="1" t="str">
        <f>"Quebec"</f>
        <v>Quebec</v>
      </c>
      <c r="F702" s="1" t="str">
        <f>"Sara"</f>
        <v>Sara</v>
      </c>
      <c r="G702" s="1" t="str">
        <f>"Desbiens"</f>
        <v>Desbiens</v>
      </c>
      <c r="H702" s="1" t="str">
        <f>"0197837"</f>
        <v>0197837</v>
      </c>
      <c r="I702" s="1" t="str">
        <f t="shared" ref="I702:I713" si="101">"F"</f>
        <v>F</v>
      </c>
      <c r="J702" s="2">
        <v>2002</v>
      </c>
      <c r="K702" s="1" t="str">
        <f>"1k"</f>
        <v>1k</v>
      </c>
      <c r="L702" s="1" t="str">
        <f>"U18"</f>
        <v>U18</v>
      </c>
      <c r="M702" s="1" t="str">
        <f>"+70"</f>
        <v>+70</v>
      </c>
      <c r="N702" s="1" t="str">
        <f>""</f>
        <v/>
      </c>
      <c r="O702" s="1">
        <v>1</v>
      </c>
      <c r="P702" s="1"/>
      <c r="Q702" t="s">
        <v>287</v>
      </c>
    </row>
    <row r="703" spans="1:17" x14ac:dyDescent="0.25">
      <c r="A703" t="str">
        <f>"2018-10-22 17:55:38"</f>
        <v>2018-10-22 17:55:38</v>
      </c>
      <c r="B703" s="1" t="str">
        <f>""</f>
        <v/>
      </c>
      <c r="C703" s="1" t="str">
        <f>"Toronto Judo Kai"</f>
        <v>Toronto Judo Kai</v>
      </c>
      <c r="D703" s="1" t="str">
        <f>"ON"</f>
        <v>ON</v>
      </c>
      <c r="E703" s="1" t="str">
        <f>"Ontario"</f>
        <v>Ontario</v>
      </c>
      <c r="F703" s="1" t="str">
        <f>"Asia"</f>
        <v>Asia</v>
      </c>
      <c r="G703" s="1" t="str">
        <f>"Douglas"</f>
        <v>Douglas</v>
      </c>
      <c r="H703" s="1" t="str">
        <f>"0187153"</f>
        <v>0187153</v>
      </c>
      <c r="I703" s="1" t="str">
        <f t="shared" si="101"/>
        <v>F</v>
      </c>
      <c r="J703" s="2">
        <v>2004</v>
      </c>
      <c r="K703" s="1" t="str">
        <f>"1k"</f>
        <v>1k</v>
      </c>
      <c r="L703" s="1" t="s">
        <v>121</v>
      </c>
      <c r="M703" s="1" t="str">
        <f>"+70"</f>
        <v>+70</v>
      </c>
      <c r="N703" s="1" t="str">
        <f>""</f>
        <v/>
      </c>
      <c r="O703" s="1">
        <v>2</v>
      </c>
      <c r="P703" s="1"/>
      <c r="Q703" t="s">
        <v>287</v>
      </c>
    </row>
    <row r="704" spans="1:17" x14ac:dyDescent="0.25">
      <c r="A704" t="str">
        <f>"2018-10-15 20:15:50"</f>
        <v>2018-10-15 20:15:50</v>
      </c>
      <c r="B704" s="1" t="str">
        <f>""</f>
        <v/>
      </c>
      <c r="C704" s="1" t="str">
        <f>"Kenshukan Judo Club"</f>
        <v>Kenshukan Judo Club</v>
      </c>
      <c r="D704" s="1" t="str">
        <f>"SK"</f>
        <v>SK</v>
      </c>
      <c r="E704" s="1" t="str">
        <f>"Saskatchewan"</f>
        <v>Saskatchewan</v>
      </c>
      <c r="F704" s="1" t="str">
        <f>"Janessa"</f>
        <v>Janessa</v>
      </c>
      <c r="G704" s="1" t="str">
        <f>"Keays"</f>
        <v>Keays</v>
      </c>
      <c r="H704" s="1" t="str">
        <f>"0208507"</f>
        <v>0208507</v>
      </c>
      <c r="I704" s="1" t="str">
        <f t="shared" si="101"/>
        <v>F</v>
      </c>
      <c r="J704" s="2">
        <v>2003</v>
      </c>
      <c r="K704" s="1" t="str">
        <f>"2k"</f>
        <v>2k</v>
      </c>
      <c r="L704" s="1" t="str">
        <f>"U18"</f>
        <v>U18</v>
      </c>
      <c r="M704" s="1" t="str">
        <f>"+70"</f>
        <v>+70</v>
      </c>
      <c r="N704" s="1" t="str">
        <f>""</f>
        <v/>
      </c>
      <c r="O704" s="1">
        <v>1</v>
      </c>
      <c r="P704" s="1"/>
      <c r="Q704" t="s">
        <v>287</v>
      </c>
    </row>
    <row r="705" spans="1:17" x14ac:dyDescent="0.25">
      <c r="A705" t="str">
        <f>"2018-10-21 17:55:00"</f>
        <v>2018-10-21 17:55:00</v>
      </c>
      <c r="B705" s="1" t="str">
        <f>""</f>
        <v/>
      </c>
      <c r="C705" s="1" t="str">
        <f>"Tani Koi Judo Club"</f>
        <v>Tani Koi Judo Club</v>
      </c>
      <c r="D705" s="1" t="str">
        <f>"NB"</f>
        <v>NB</v>
      </c>
      <c r="E705" s="1" t="str">
        <f>"New Brunswick"</f>
        <v>New Brunswick</v>
      </c>
      <c r="F705" s="1" t="str">
        <f>"Brandi"</f>
        <v>Brandi</v>
      </c>
      <c r="G705" s="1" t="str">
        <f>"Lingley"</f>
        <v>Lingley</v>
      </c>
      <c r="H705" s="1" t="str">
        <f>"0207894"</f>
        <v>0207894</v>
      </c>
      <c r="I705" s="1" t="str">
        <f t="shared" si="101"/>
        <v>F</v>
      </c>
      <c r="J705" s="2">
        <v>2005</v>
      </c>
      <c r="K705" s="1" t="str">
        <f>"3k+"</f>
        <v>3k+</v>
      </c>
      <c r="L705" s="1" t="s">
        <v>121</v>
      </c>
      <c r="M705" s="1" t="str">
        <f>"+70"</f>
        <v>+70</v>
      </c>
      <c r="N705" s="1" t="str">
        <f>""</f>
        <v/>
      </c>
      <c r="O705" s="1">
        <v>2</v>
      </c>
      <c r="P705" s="1" t="s">
        <v>270</v>
      </c>
      <c r="Q705" t="s">
        <v>287</v>
      </c>
    </row>
    <row r="706" spans="1:17" x14ac:dyDescent="0.25">
      <c r="A706" t="str">
        <f>"2018-10-21 17:55:00"</f>
        <v>2018-10-21 17:55:00</v>
      </c>
      <c r="B706" s="1" t="str">
        <f>""</f>
        <v/>
      </c>
      <c r="C706" s="1" t="str">
        <f>"Atlantic Training Center"</f>
        <v>Atlantic Training Center</v>
      </c>
      <c r="D706" s="1" t="str">
        <f>"NS"</f>
        <v>NS</v>
      </c>
      <c r="E706" s="1" t="str">
        <f>"Nova Scotia"</f>
        <v>Nova Scotia</v>
      </c>
      <c r="F706" s="1" t="str">
        <f>"Emilie"</f>
        <v>Emilie</v>
      </c>
      <c r="G706" s="1" t="str">
        <f>"Townsend"</f>
        <v>Townsend</v>
      </c>
      <c r="H706" s="1" t="str">
        <f>"0173277"</f>
        <v>0173277</v>
      </c>
      <c r="I706" s="1" t="str">
        <f t="shared" si="101"/>
        <v>F</v>
      </c>
      <c r="J706" s="2">
        <v>2003</v>
      </c>
      <c r="K706" s="1" t="str">
        <f>"2k"</f>
        <v>2k</v>
      </c>
      <c r="L706" s="1" t="str">
        <f>"U18"</f>
        <v>U18</v>
      </c>
      <c r="M706" s="1" t="str">
        <f>"+70"</f>
        <v>+70</v>
      </c>
      <c r="N706" s="1" t="str">
        <f>""</f>
        <v/>
      </c>
      <c r="O706" s="1">
        <v>1</v>
      </c>
      <c r="P706" s="1"/>
      <c r="Q706" t="s">
        <v>287</v>
      </c>
    </row>
    <row r="707" spans="1:17" x14ac:dyDescent="0.25">
      <c r="A707" t="str">
        <f>"2018-10-20 21:45:11"</f>
        <v>2018-10-20 21:45:11</v>
      </c>
      <c r="B707" s="1" t="str">
        <f>"2018-10-04 14:22:24"</f>
        <v>2018-10-04 14:22:24</v>
      </c>
      <c r="C707" s="1" t="str">
        <f>"West Kildonan Judo Club"</f>
        <v>West Kildonan Judo Club</v>
      </c>
      <c r="D707" s="1" t="str">
        <f>"MB"</f>
        <v>MB</v>
      </c>
      <c r="E707" s="1" t="str">
        <f>"Manitoba"</f>
        <v>Manitoba</v>
      </c>
      <c r="F707" s="1" t="str">
        <f>"Samantha"</f>
        <v>Samantha</v>
      </c>
      <c r="G707" s="1" t="str">
        <f>"Ulrich"</f>
        <v>Ulrich</v>
      </c>
      <c r="H707" s="1" t="str">
        <f>"0201240"</f>
        <v>0201240</v>
      </c>
      <c r="I707" s="1" t="str">
        <f t="shared" si="101"/>
        <v>F</v>
      </c>
      <c r="J707" s="2">
        <v>2003</v>
      </c>
      <c r="K707" s="1" t="str">
        <f>"1k"</f>
        <v>1k</v>
      </c>
      <c r="L707" s="1" t="s">
        <v>121</v>
      </c>
      <c r="M707" s="13" t="s">
        <v>288</v>
      </c>
      <c r="N707" s="1" t="str">
        <f>""</f>
        <v/>
      </c>
      <c r="O707" s="1">
        <v>2</v>
      </c>
      <c r="P707" s="1"/>
      <c r="Q707" t="s">
        <v>287</v>
      </c>
    </row>
    <row r="708" spans="1:17" x14ac:dyDescent="0.25">
      <c r="A708" t="str">
        <f>"2018-10-24 20:29:16"</f>
        <v>2018-10-24 20:29:16</v>
      </c>
      <c r="B708" s="1" t="str">
        <f>""</f>
        <v/>
      </c>
      <c r="C708" s="1" t="str">
        <f>"Kokushikai Judo"</f>
        <v>Kokushikai Judo</v>
      </c>
      <c r="D708" s="1" t="str">
        <f>"BC"</f>
        <v>BC</v>
      </c>
      <c r="E708" s="1" t="str">
        <f>"British Columbia"</f>
        <v>British Columbia</v>
      </c>
      <c r="F708" s="1" t="str">
        <f>"Dakota"</f>
        <v>Dakota</v>
      </c>
      <c r="G708" s="1" t="str">
        <f>"Webb"</f>
        <v>Webb</v>
      </c>
      <c r="H708" s="1" t="str">
        <f>"0224641"</f>
        <v>0224641</v>
      </c>
      <c r="I708" s="1" t="str">
        <f t="shared" si="101"/>
        <v>F</v>
      </c>
      <c r="J708" s="2">
        <v>2003</v>
      </c>
      <c r="K708" s="1" t="str">
        <f>"3k"</f>
        <v>3k</v>
      </c>
      <c r="L708" s="1" t="str">
        <f>"U18"</f>
        <v>U18</v>
      </c>
      <c r="M708" s="1" t="str">
        <f>"+70"</f>
        <v>+70</v>
      </c>
      <c r="N708" s="1" t="str">
        <f>""</f>
        <v/>
      </c>
      <c r="O708" s="1">
        <v>1</v>
      </c>
      <c r="P708" s="1"/>
      <c r="Q708" t="s">
        <v>287</v>
      </c>
    </row>
    <row r="709" spans="1:17" x14ac:dyDescent="0.25">
      <c r="A709" t="str">
        <f>"2018-10-20 12:09:39"</f>
        <v>2018-10-20 12:09:39</v>
      </c>
      <c r="B709" s="1" t="str">
        <f>""</f>
        <v/>
      </c>
      <c r="C709" s="4" t="str">
        <f>"Lethbridge Kyodokan Judo Club"</f>
        <v>Lethbridge Kyodokan Judo Club</v>
      </c>
      <c r="D709" s="4" t="str">
        <f>"AB"</f>
        <v>AB</v>
      </c>
      <c r="E709" s="4" t="str">
        <f>"Alberta"</f>
        <v>Alberta</v>
      </c>
      <c r="F709" s="4" t="str">
        <f>"Brynn"</f>
        <v>Brynn</v>
      </c>
      <c r="G709" s="4" t="str">
        <f>"Iwaasa"</f>
        <v>Iwaasa</v>
      </c>
      <c r="H709" s="4" t="str">
        <f>"0407178"</f>
        <v>0407178</v>
      </c>
      <c r="I709" s="4" t="str">
        <f t="shared" si="101"/>
        <v>F</v>
      </c>
      <c r="J709" s="5">
        <v>2004</v>
      </c>
      <c r="K709" s="4" t="str">
        <f>"3k"</f>
        <v>3k</v>
      </c>
      <c r="L709" s="4" t="s">
        <v>121</v>
      </c>
      <c r="M709" s="4" t="str">
        <f>"-40"</f>
        <v>-40</v>
      </c>
      <c r="N709" s="4" t="str">
        <f>"-40"</f>
        <v>-40</v>
      </c>
      <c r="O709" s="4">
        <v>2</v>
      </c>
      <c r="P709" s="4" t="s">
        <v>123</v>
      </c>
      <c r="Q709" s="6" t="s">
        <v>124</v>
      </c>
    </row>
    <row r="710" spans="1:17" x14ac:dyDescent="0.25">
      <c r="A710" t="str">
        <f>"2018-10-21 15:09:53"</f>
        <v>2018-10-21 15:09:53</v>
      </c>
      <c r="B710" s="1" t="str">
        <f>""</f>
        <v/>
      </c>
      <c r="C710" s="1" t="str">
        <f>"Lethbridge Kyodokan Judo Club"</f>
        <v>Lethbridge Kyodokan Judo Club</v>
      </c>
      <c r="D710" s="1" t="str">
        <f>"AB"</f>
        <v>AB</v>
      </c>
      <c r="E710" s="1" t="str">
        <f>"Alberta"</f>
        <v>Alberta</v>
      </c>
      <c r="F710" s="1" t="str">
        <f>"Evelyn"</f>
        <v>Evelyn</v>
      </c>
      <c r="G710" s="1" t="str">
        <f>"Beaton"</f>
        <v>Beaton</v>
      </c>
      <c r="H710" s="1" t="str">
        <f>"0185167"</f>
        <v>0185167</v>
      </c>
      <c r="I710" s="1" t="str">
        <f t="shared" si="101"/>
        <v>F</v>
      </c>
      <c r="J710" s="2">
        <v>2004</v>
      </c>
      <c r="K710" s="1" t="str">
        <f>"2k"</f>
        <v>2k</v>
      </c>
      <c r="L710" s="1" t="s">
        <v>121</v>
      </c>
      <c r="M710" s="1" t="str">
        <f>"-44"</f>
        <v>-44</v>
      </c>
      <c r="N710" s="1" t="str">
        <f>""</f>
        <v/>
      </c>
      <c r="O710" s="1">
        <v>2</v>
      </c>
      <c r="P710" s="1"/>
      <c r="Q710" t="s">
        <v>289</v>
      </c>
    </row>
    <row r="711" spans="1:17" x14ac:dyDescent="0.25">
      <c r="A711" t="str">
        <f>"2018-10-18 18:31:47"</f>
        <v>2018-10-18 18:31:47</v>
      </c>
      <c r="B711" s="1" t="str">
        <f>""</f>
        <v/>
      </c>
      <c r="C711" s="1" t="str">
        <f>"Club Judokan Port Cartier"</f>
        <v>Club Judokan Port Cartier</v>
      </c>
      <c r="D711" s="1" t="str">
        <f>"QC"</f>
        <v>QC</v>
      </c>
      <c r="E711" s="1" t="str">
        <f>"Quebec"</f>
        <v>Quebec</v>
      </c>
      <c r="F711" s="1" t="str">
        <f>"Sophie"</f>
        <v>Sophie</v>
      </c>
      <c r="G711" s="1" t="str">
        <f>"Lapointe"</f>
        <v>Lapointe</v>
      </c>
      <c r="H711" s="1" t="str">
        <f>"0189028"</f>
        <v>0189028</v>
      </c>
      <c r="I711" s="1" t="str">
        <f t="shared" si="101"/>
        <v>F</v>
      </c>
      <c r="J711" s="2">
        <v>2004</v>
      </c>
      <c r="K711" s="1" t="str">
        <f>"1k"</f>
        <v>1k</v>
      </c>
      <c r="L711" s="1" t="s">
        <v>121</v>
      </c>
      <c r="M711" s="1" t="str">
        <f>"-44"</f>
        <v>-44</v>
      </c>
      <c r="N711" s="1" t="str">
        <f>"-44"</f>
        <v>-44</v>
      </c>
      <c r="O711" s="1">
        <v>2</v>
      </c>
      <c r="P711" s="1"/>
      <c r="Q711" t="s">
        <v>289</v>
      </c>
    </row>
    <row r="712" spans="1:17" x14ac:dyDescent="0.25">
      <c r="A712" t="str">
        <f>"2018-10-18 18:31:47"</f>
        <v>2018-10-18 18:31:47</v>
      </c>
      <c r="B712" s="1" t="str">
        <f>""</f>
        <v/>
      </c>
      <c r="C712" s="1" t="str">
        <f>"Club de Judo Boucherville inc."</f>
        <v>Club de Judo Boucherville inc.</v>
      </c>
      <c r="D712" s="1" t="str">
        <f>"QC"</f>
        <v>QC</v>
      </c>
      <c r="E712" s="1" t="str">
        <f>"Quebec"</f>
        <v>Quebec</v>
      </c>
      <c r="F712" s="1" t="str">
        <f>"Loreena"</f>
        <v>Loreena</v>
      </c>
      <c r="G712" s="1" t="str">
        <f>"Morneau-Leblanc"</f>
        <v>Morneau-Leblanc</v>
      </c>
      <c r="H712" s="1" t="str">
        <f>"0185366"</f>
        <v>0185366</v>
      </c>
      <c r="I712" s="1" t="str">
        <f t="shared" si="101"/>
        <v>F</v>
      </c>
      <c r="J712" s="2">
        <v>2002</v>
      </c>
      <c r="K712" s="1" t="str">
        <f>"2k"</f>
        <v>2k</v>
      </c>
      <c r="L712" s="1" t="str">
        <f>"U18"</f>
        <v>U18</v>
      </c>
      <c r="M712" s="1" t="str">
        <f>"-44"</f>
        <v>-44</v>
      </c>
      <c r="N712" s="1" t="str">
        <f>""</f>
        <v/>
      </c>
      <c r="O712" s="1">
        <v>1</v>
      </c>
      <c r="P712" s="1"/>
      <c r="Q712" t="s">
        <v>289</v>
      </c>
    </row>
    <row r="713" spans="1:17" x14ac:dyDescent="0.25">
      <c r="A713" t="str">
        <f>"2018-10-20 12:09:39"</f>
        <v>2018-10-20 12:09:39</v>
      </c>
      <c r="B713" s="1" t="str">
        <f>""</f>
        <v/>
      </c>
      <c r="C713" s="1" t="str">
        <f>"Tech Judo"</f>
        <v>Tech Judo</v>
      </c>
      <c r="D713" s="1" t="s">
        <v>106</v>
      </c>
      <c r="E713" s="1" t="str">
        <f>"New Jersey"</f>
        <v>New Jersey</v>
      </c>
      <c r="F713" s="1" t="str">
        <f>"Anat"</f>
        <v>Anat</v>
      </c>
      <c r="G713" s="1" t="str">
        <f>"Tsyrlin"</f>
        <v>Tsyrlin</v>
      </c>
      <c r="H713" s="1" t="str">
        <f>"AutreFederation"</f>
        <v>AutreFederation</v>
      </c>
      <c r="I713" s="1" t="str">
        <f t="shared" si="101"/>
        <v>F</v>
      </c>
      <c r="J713" s="2">
        <v>2003</v>
      </c>
      <c r="K713" s="1" t="str">
        <f>"1k"</f>
        <v>1k</v>
      </c>
      <c r="L713" s="1" t="str">
        <f>"U18"</f>
        <v>U18</v>
      </c>
      <c r="M713" s="1" t="str">
        <f>"-44"</f>
        <v>-44</v>
      </c>
      <c r="N713" s="1" t="str">
        <f>""</f>
        <v/>
      </c>
      <c r="O713" s="1">
        <v>1</v>
      </c>
      <c r="P713" s="1"/>
      <c r="Q713" t="s">
        <v>289</v>
      </c>
    </row>
    <row r="714" spans="1:17" x14ac:dyDescent="0.25">
      <c r="A714" t="str">
        <f>"2018-10-25 12:05:56"</f>
        <v>2018-10-25 12:05:56</v>
      </c>
      <c r="B714" s="1" t="str">
        <f>""</f>
        <v/>
      </c>
      <c r="C714" s="1" t="str">
        <f>"Lethbridge Kyodokan Judo Club"</f>
        <v>Lethbridge Kyodokan Judo Club</v>
      </c>
      <c r="D714" s="1" t="str">
        <f>"AB"</f>
        <v>AB</v>
      </c>
      <c r="E714" s="1" t="str">
        <f>"Alberta"</f>
        <v>Alberta</v>
      </c>
      <c r="F714" s="1" t="str">
        <f>"Philip"</f>
        <v>Philip</v>
      </c>
      <c r="G714" s="1" t="str">
        <f>"Allen"</f>
        <v>Allen</v>
      </c>
      <c r="H714" s="1" t="str">
        <f>"0198996"</f>
        <v>0198996</v>
      </c>
      <c r="I714" s="1" t="str">
        <f t="shared" ref="I714:I725" si="102">"M"</f>
        <v>M</v>
      </c>
      <c r="J714" s="2">
        <v>2004</v>
      </c>
      <c r="K714" s="1" t="str">
        <f>"3k"</f>
        <v>3k</v>
      </c>
      <c r="L714" s="1" t="s">
        <v>121</v>
      </c>
      <c r="M714" s="1" t="str">
        <f>"-46"</f>
        <v>-46</v>
      </c>
      <c r="N714" s="1" t="str">
        <f>"-46kg"</f>
        <v>-46kg</v>
      </c>
      <c r="O714" s="1">
        <v>2</v>
      </c>
      <c r="P714" s="1"/>
      <c r="Q714" t="s">
        <v>290</v>
      </c>
    </row>
    <row r="715" spans="1:17" x14ac:dyDescent="0.25">
      <c r="A715" t="str">
        <f>"2018-10-18 20:53:02"</f>
        <v>2018-10-18 20:53:02</v>
      </c>
      <c r="B715" s="1" t="str">
        <f>""</f>
        <v/>
      </c>
      <c r="C715" s="1" t="str">
        <f>"Lethbridge Kyodokan Judo Club"</f>
        <v>Lethbridge Kyodokan Judo Club</v>
      </c>
      <c r="D715" s="1" t="str">
        <f>"AB"</f>
        <v>AB</v>
      </c>
      <c r="E715" s="1" t="str">
        <f>"Alberta"</f>
        <v>Alberta</v>
      </c>
      <c r="F715" s="1" t="str">
        <f>"Caleb"</f>
        <v>Caleb</v>
      </c>
      <c r="G715" s="1" t="str">
        <f>"Demaere"</f>
        <v>Demaere</v>
      </c>
      <c r="H715" s="1" t="str">
        <f>"0172773"</f>
        <v>0172773</v>
      </c>
      <c r="I715" s="1" t="str">
        <f t="shared" si="102"/>
        <v>M</v>
      </c>
      <c r="J715" s="2">
        <v>2004</v>
      </c>
      <c r="K715" s="1" t="str">
        <f>"2k"</f>
        <v>2k</v>
      </c>
      <c r="L715" s="1" t="s">
        <v>121</v>
      </c>
      <c r="M715" s="1">
        <v>-46</v>
      </c>
      <c r="N715" s="1" t="str">
        <f>"u46"</f>
        <v>u46</v>
      </c>
      <c r="O715" s="1">
        <v>2</v>
      </c>
      <c r="P715" s="1"/>
      <c r="Q715" t="s">
        <v>290</v>
      </c>
    </row>
    <row r="716" spans="1:17" x14ac:dyDescent="0.25">
      <c r="A716" t="str">
        <f>"2018-10-19 17:08:59"</f>
        <v>2018-10-19 17:08:59</v>
      </c>
      <c r="B716" s="1" t="str">
        <f>""</f>
        <v/>
      </c>
      <c r="C716" s="1" t="str">
        <f>"Rikidokan Judo Club"</f>
        <v>Rikidokan Judo Club</v>
      </c>
      <c r="D716" s="1" t="str">
        <f>"PE"</f>
        <v>PE</v>
      </c>
      <c r="E716" s="1" t="str">
        <f>"Prince Edward Island"</f>
        <v>Prince Edward Island</v>
      </c>
      <c r="F716" s="1" t="str">
        <f>"Rj"</f>
        <v>Rj</v>
      </c>
      <c r="G716" s="1" t="str">
        <f>"Hetherington"</f>
        <v>Hetherington</v>
      </c>
      <c r="H716" s="1" t="str">
        <f>"0224603"</f>
        <v>0224603</v>
      </c>
      <c r="I716" s="1" t="str">
        <f t="shared" si="102"/>
        <v>M</v>
      </c>
      <c r="J716" s="2">
        <v>2004</v>
      </c>
      <c r="K716" s="1" t="str">
        <f>"2k"</f>
        <v>2k</v>
      </c>
      <c r="L716" s="1" t="s">
        <v>121</v>
      </c>
      <c r="M716" s="1" t="str">
        <f>"-46"</f>
        <v>-46</v>
      </c>
      <c r="N716" s="1" t="str">
        <f>""</f>
        <v/>
      </c>
      <c r="O716" s="1">
        <v>2</v>
      </c>
      <c r="P716" s="1"/>
      <c r="Q716" t="s">
        <v>290</v>
      </c>
    </row>
    <row r="717" spans="1:17" x14ac:dyDescent="0.25">
      <c r="A717" t="str">
        <f>"2018-10-18 12:42:46"</f>
        <v>2018-10-18 12:42:46</v>
      </c>
      <c r="B717" s="1" t="str">
        <f>""</f>
        <v/>
      </c>
      <c r="C717" s="1" t="str">
        <f>"Lethbridge Kyodokan Judo Club"</f>
        <v>Lethbridge Kyodokan Judo Club</v>
      </c>
      <c r="D717" s="1" t="str">
        <f>"AB"</f>
        <v>AB</v>
      </c>
      <c r="E717" s="1" t="str">
        <f>"Alberta"</f>
        <v>Alberta</v>
      </c>
      <c r="F717" s="1" t="str">
        <f>"Elijah"</f>
        <v>Elijah</v>
      </c>
      <c r="G717" s="1" t="str">
        <f>"Hill"</f>
        <v>Hill</v>
      </c>
      <c r="H717" s="1" t="str">
        <f>"0195174"</f>
        <v>0195174</v>
      </c>
      <c r="I717" s="1" t="str">
        <f t="shared" si="102"/>
        <v>M</v>
      </c>
      <c r="J717" s="2">
        <v>2004</v>
      </c>
      <c r="K717" s="1" t="str">
        <f>"2k"</f>
        <v>2k</v>
      </c>
      <c r="L717" s="1" t="s">
        <v>121</v>
      </c>
      <c r="M717" s="1">
        <v>-46</v>
      </c>
      <c r="N717" s="1" t="str">
        <f>""</f>
        <v/>
      </c>
      <c r="O717" s="1">
        <v>2</v>
      </c>
      <c r="P717" s="1"/>
      <c r="Q717" t="s">
        <v>290</v>
      </c>
    </row>
    <row r="718" spans="1:17" x14ac:dyDescent="0.25">
      <c r="A718" t="str">
        <f>"2018-10-19 12:07:03"</f>
        <v>2018-10-19 12:07:03</v>
      </c>
      <c r="B718" s="1" t="str">
        <f>""</f>
        <v/>
      </c>
      <c r="C718" s="1" t="str">
        <f>"Lethbridge Kyodokan Judo Club"</f>
        <v>Lethbridge Kyodokan Judo Club</v>
      </c>
      <c r="D718" s="1" t="str">
        <f>"AB"</f>
        <v>AB</v>
      </c>
      <c r="E718" s="1" t="str">
        <f>"Alberta"</f>
        <v>Alberta</v>
      </c>
      <c r="F718" s="1" t="str">
        <f>"Aidan"</f>
        <v>Aidan</v>
      </c>
      <c r="G718" s="1" t="str">
        <f>"Lazenby"</f>
        <v>Lazenby</v>
      </c>
      <c r="H718" s="1" t="str">
        <f>"0166556"</f>
        <v>0166556</v>
      </c>
      <c r="I718" s="1" t="str">
        <f t="shared" si="102"/>
        <v>M</v>
      </c>
      <c r="J718" s="2">
        <v>2003</v>
      </c>
      <c r="K718" s="1" t="str">
        <f>"1k"</f>
        <v>1k</v>
      </c>
      <c r="L718" s="1" t="str">
        <f>"U18"</f>
        <v>U18</v>
      </c>
      <c r="M718" s="1" t="str">
        <f t="shared" ref="M718:M725" si="103">"-46"</f>
        <v>-46</v>
      </c>
      <c r="N718" s="1" t="str">
        <f>""</f>
        <v/>
      </c>
      <c r="O718" s="1">
        <v>1</v>
      </c>
      <c r="P718" s="1"/>
      <c r="Q718" t="s">
        <v>290</v>
      </c>
    </row>
    <row r="719" spans="1:17" x14ac:dyDescent="0.25">
      <c r="A719" t="str">
        <f>"2018-10-21 20:36:19"</f>
        <v>2018-10-21 20:36:19</v>
      </c>
      <c r="B719" s="1" t="str">
        <f>""</f>
        <v/>
      </c>
      <c r="C719" s="1" t="str">
        <f>"South Corman Park Judo Club"</f>
        <v>South Corman Park Judo Club</v>
      </c>
      <c r="D719" s="1" t="str">
        <f>"SK"</f>
        <v>SK</v>
      </c>
      <c r="E719" s="1" t="str">
        <f>"Saskatchewan"</f>
        <v>Saskatchewan</v>
      </c>
      <c r="F719" s="1" t="str">
        <f>"Euan"</f>
        <v>Euan</v>
      </c>
      <c r="G719" s="1" t="str">
        <f>"Litzenberger"</f>
        <v>Litzenberger</v>
      </c>
      <c r="H719" s="1" t="str">
        <f>"0162354"</f>
        <v>0162354</v>
      </c>
      <c r="I719" s="1" t="str">
        <f t="shared" si="102"/>
        <v>M</v>
      </c>
      <c r="J719" s="2">
        <v>2004</v>
      </c>
      <c r="K719" s="1" t="str">
        <f>"2k+"</f>
        <v>2k+</v>
      </c>
      <c r="L719" s="1" t="s">
        <v>121</v>
      </c>
      <c r="M719" s="1" t="str">
        <f t="shared" si="103"/>
        <v>-46</v>
      </c>
      <c r="N719" s="1" t="str">
        <f>""</f>
        <v/>
      </c>
      <c r="O719" s="1">
        <v>2</v>
      </c>
      <c r="P719" s="1"/>
      <c r="Q719" t="s">
        <v>290</v>
      </c>
    </row>
    <row r="720" spans="1:17" x14ac:dyDescent="0.25">
      <c r="B720" s="1" t="str">
        <f>""</f>
        <v/>
      </c>
      <c r="C720" s="1" t="str">
        <f>"Yawara Force Judo"</f>
        <v>Yawara Force Judo</v>
      </c>
      <c r="D720" s="1" t="s">
        <v>106</v>
      </c>
      <c r="E720" s="1" t="s">
        <v>106</v>
      </c>
      <c r="F720" s="1" t="str">
        <f>"Giorgi"</f>
        <v>Giorgi</v>
      </c>
      <c r="G720" s="1" t="str">
        <f>"Natelauri"</f>
        <v>Natelauri</v>
      </c>
      <c r="H720" s="1" t="str">
        <f>"AutreFederation"</f>
        <v>AutreFederation</v>
      </c>
      <c r="I720" s="1" t="str">
        <f t="shared" si="102"/>
        <v>M</v>
      </c>
      <c r="J720" s="1">
        <v>2003</v>
      </c>
      <c r="K720" s="1" t="s">
        <v>291</v>
      </c>
      <c r="L720" s="1" t="str">
        <f>"U18"</f>
        <v>U18</v>
      </c>
      <c r="M720" s="1" t="str">
        <f t="shared" si="103"/>
        <v>-46</v>
      </c>
      <c r="N720" s="1"/>
      <c r="O720" s="1">
        <v>1</v>
      </c>
      <c r="P720" s="1"/>
      <c r="Q720" t="s">
        <v>290</v>
      </c>
    </row>
    <row r="721" spans="1:17" x14ac:dyDescent="0.25">
      <c r="B721" s="1" t="str">
        <f>""</f>
        <v/>
      </c>
      <c r="C721" s="1" t="str">
        <f>"Yawara Force Judo"</f>
        <v>Yawara Force Judo</v>
      </c>
      <c r="D721" s="1" t="s">
        <v>106</v>
      </c>
      <c r="E721" s="1" t="s">
        <v>106</v>
      </c>
      <c r="F721" s="1" t="str">
        <f>"Sadula"</f>
        <v>Sadula</v>
      </c>
      <c r="G721" s="1" t="str">
        <f>"Natelauri"</f>
        <v>Natelauri</v>
      </c>
      <c r="H721" s="1" t="str">
        <f>"AutreFederation"</f>
        <v>AutreFederation</v>
      </c>
      <c r="I721" s="1" t="str">
        <f t="shared" si="102"/>
        <v>M</v>
      </c>
      <c r="J721" s="1">
        <v>2003</v>
      </c>
      <c r="K721" s="1" t="s">
        <v>291</v>
      </c>
      <c r="L721" s="1" t="str">
        <f>"U18"</f>
        <v>U18</v>
      </c>
      <c r="M721" s="1" t="str">
        <f t="shared" si="103"/>
        <v>-46</v>
      </c>
      <c r="N721" s="1"/>
      <c r="O721" s="1">
        <v>1</v>
      </c>
      <c r="P721" s="1"/>
      <c r="Q721" t="s">
        <v>290</v>
      </c>
    </row>
    <row r="722" spans="1:17" x14ac:dyDescent="0.25">
      <c r="A722" t="str">
        <f>"2018-10-20 13:51:26"</f>
        <v>2018-10-20 13:51:26</v>
      </c>
      <c r="B722" s="1" t="str">
        <f>""</f>
        <v/>
      </c>
      <c r="C722" s="1" t="str">
        <f>"Toronto Judo Kai"</f>
        <v>Toronto Judo Kai</v>
      </c>
      <c r="D722" s="1" t="str">
        <f>"ON"</f>
        <v>ON</v>
      </c>
      <c r="E722" s="1" t="str">
        <f>"Ontario"</f>
        <v>Ontario</v>
      </c>
      <c r="F722" s="1" t="str">
        <f>"Alexander (sasha)"</f>
        <v>Alexander (sasha)</v>
      </c>
      <c r="G722" s="1" t="str">
        <f>"Polyakov"</f>
        <v>Polyakov</v>
      </c>
      <c r="H722" s="1" t="str">
        <f>"0015179"</f>
        <v>0015179</v>
      </c>
      <c r="I722" s="1" t="str">
        <f t="shared" si="102"/>
        <v>M</v>
      </c>
      <c r="J722" s="2">
        <v>2003</v>
      </c>
      <c r="K722" s="1" t="str">
        <f>"2k"</f>
        <v>2k</v>
      </c>
      <c r="L722" s="1" t="str">
        <f>"U18"</f>
        <v>U18</v>
      </c>
      <c r="M722" s="1" t="str">
        <f t="shared" si="103"/>
        <v>-46</v>
      </c>
      <c r="N722" s="1" t="str">
        <f>""</f>
        <v/>
      </c>
      <c r="O722" s="1">
        <v>1</v>
      </c>
      <c r="P722" s="1"/>
      <c r="Q722" t="s">
        <v>290</v>
      </c>
    </row>
    <row r="723" spans="1:17" x14ac:dyDescent="0.25">
      <c r="A723" t="str">
        <f>"2018-10-21 18:53:50"</f>
        <v>2018-10-21 18:53:50</v>
      </c>
      <c r="B723" s="1" t="str">
        <f>""</f>
        <v/>
      </c>
      <c r="C723" s="1" t="str">
        <f>"Club de Judo d'Asbestos-Danville"</f>
        <v>Club de Judo d'Asbestos-Danville</v>
      </c>
      <c r="D723" s="1" t="str">
        <f>"QC"</f>
        <v>QC</v>
      </c>
      <c r="E723" s="1" t="str">
        <f>"Quebec"</f>
        <v>Quebec</v>
      </c>
      <c r="F723" s="1" t="str">
        <f>"Victor"</f>
        <v>Victor</v>
      </c>
      <c r="G723" s="1" t="str">
        <f>"Roy"</f>
        <v>Roy</v>
      </c>
      <c r="H723" s="1" t="str">
        <f>"0162278"</f>
        <v>0162278</v>
      </c>
      <c r="I723" s="1" t="str">
        <f t="shared" si="102"/>
        <v>M</v>
      </c>
      <c r="J723" s="2">
        <v>2003</v>
      </c>
      <c r="K723" s="1" t="str">
        <f>"1k"</f>
        <v>1k</v>
      </c>
      <c r="L723" s="1" t="str">
        <f>"U18"</f>
        <v>U18</v>
      </c>
      <c r="M723" s="1" t="str">
        <f t="shared" si="103"/>
        <v>-46</v>
      </c>
      <c r="N723" s="1" t="str">
        <f>""</f>
        <v/>
      </c>
      <c r="O723" s="1">
        <v>1</v>
      </c>
      <c r="P723" s="1"/>
      <c r="Q723" t="s">
        <v>290</v>
      </c>
    </row>
    <row r="724" spans="1:17" x14ac:dyDescent="0.25">
      <c r="B724" s="1" t="str">
        <f>""</f>
        <v/>
      </c>
      <c r="C724" s="1" t="str">
        <f>"Taifu Judo Club"</f>
        <v>Taifu Judo Club</v>
      </c>
      <c r="D724" s="1" t="str">
        <f>"ON"</f>
        <v>ON</v>
      </c>
      <c r="E724" s="1" t="str">
        <f>"Ontario"</f>
        <v>Ontario</v>
      </c>
      <c r="F724" s="1" t="str">
        <f>"Lasha"</f>
        <v>Lasha</v>
      </c>
      <c r="G724" s="1" t="str">
        <f>"Tsatsalashvili"</f>
        <v>Tsatsalashvili</v>
      </c>
      <c r="H724" s="1" t="str">
        <f>"0180306"</f>
        <v>0180306</v>
      </c>
      <c r="I724" s="1" t="str">
        <f t="shared" si="102"/>
        <v>M</v>
      </c>
      <c r="J724" s="2">
        <v>2005</v>
      </c>
      <c r="K724" s="1" t="str">
        <f>"2k"</f>
        <v>2k</v>
      </c>
      <c r="L724" s="1" t="s">
        <v>121</v>
      </c>
      <c r="M724" s="1" t="str">
        <f t="shared" si="103"/>
        <v>-46</v>
      </c>
      <c r="N724" s="1" t="str">
        <f>""</f>
        <v/>
      </c>
      <c r="O724" s="10">
        <v>2</v>
      </c>
      <c r="P724" s="10" t="s">
        <v>292</v>
      </c>
      <c r="Q724" t="s">
        <v>290</v>
      </c>
    </row>
    <row r="725" spans="1:17" x14ac:dyDescent="0.25">
      <c r="A725" t="str">
        <f>"2018-10-22 14:58:13"</f>
        <v>2018-10-22 14:58:13</v>
      </c>
      <c r="B725" s="1" t="str">
        <f>""</f>
        <v/>
      </c>
      <c r="C725" s="1" t="str">
        <f>"Kodokwai Judo Club"</f>
        <v>Kodokwai Judo Club</v>
      </c>
      <c r="D725" s="1" t="str">
        <f>"AB"</f>
        <v>AB</v>
      </c>
      <c r="E725" s="1" t="str">
        <f>"Alberta"</f>
        <v>Alberta</v>
      </c>
      <c r="F725" s="1" t="str">
        <f>"Victor"</f>
        <v>Victor</v>
      </c>
      <c r="G725" s="1" t="str">
        <f>"Vysotski"</f>
        <v>Vysotski</v>
      </c>
      <c r="H725" s="1" t="str">
        <f>"0173077"</f>
        <v>0173077</v>
      </c>
      <c r="I725" s="1" t="str">
        <f t="shared" si="102"/>
        <v>M</v>
      </c>
      <c r="J725" s="2">
        <v>2003</v>
      </c>
      <c r="K725" s="1" t="str">
        <f>"2k"</f>
        <v>2k</v>
      </c>
      <c r="L725" s="1" t="str">
        <f>"U18"</f>
        <v>U18</v>
      </c>
      <c r="M725" s="1" t="str">
        <f t="shared" si="103"/>
        <v>-46</v>
      </c>
      <c r="N725" s="1" t="str">
        <f>""</f>
        <v/>
      </c>
      <c r="O725" s="1">
        <v>1</v>
      </c>
      <c r="P725" s="1"/>
      <c r="Q725" t="s">
        <v>290</v>
      </c>
    </row>
    <row r="726" spans="1:17" x14ac:dyDescent="0.25">
      <c r="A726" t="str">
        <f>"2018-10-01 08:53:31"</f>
        <v>2018-10-01 08:53:31</v>
      </c>
      <c r="B726" s="1" t="str">
        <f>""</f>
        <v/>
      </c>
      <c r="C726" s="1" t="str">
        <f>"Dojo De Beauport"</f>
        <v>Dojo De Beauport</v>
      </c>
      <c r="D726" s="1" t="str">
        <f>"QC"</f>
        <v>QC</v>
      </c>
      <c r="E726" s="1" t="str">
        <f>"Quebec"</f>
        <v>Quebec</v>
      </c>
      <c r="F726" s="1" t="str">
        <f>"Eleonore"</f>
        <v>Eleonore</v>
      </c>
      <c r="G726" s="1" t="str">
        <f>"Cote"</f>
        <v>Cote</v>
      </c>
      <c r="H726" s="1" t="str">
        <f>"0189083"</f>
        <v>0189083</v>
      </c>
      <c r="I726" s="1" t="str">
        <f t="shared" ref="I726:I735" si="104">"F"</f>
        <v>F</v>
      </c>
      <c r="J726" s="2">
        <v>2002</v>
      </c>
      <c r="K726" s="1" t="str">
        <f>"1k"</f>
        <v>1k</v>
      </c>
      <c r="L726" s="1" t="str">
        <f>"U18"</f>
        <v>U18</v>
      </c>
      <c r="M726" s="1" t="str">
        <f t="shared" ref="M726:M735" si="105">"-48"</f>
        <v>-48</v>
      </c>
      <c r="N726" s="1" t="str">
        <f>""</f>
        <v/>
      </c>
      <c r="O726" s="1">
        <v>1</v>
      </c>
      <c r="P726" s="1"/>
      <c r="Q726" t="s">
        <v>293</v>
      </c>
    </row>
    <row r="727" spans="1:17" x14ac:dyDescent="0.25">
      <c r="A727" t="str">
        <f>"2018-10-19 17:43:48"</f>
        <v>2018-10-19 17:43:48</v>
      </c>
      <c r="B727" s="1" t="str">
        <f>""</f>
        <v/>
      </c>
      <c r="C727" s="1" t="str">
        <f>"Judo Univestri/donini"</f>
        <v>Judo Univestri/donini</v>
      </c>
      <c r="D727" s="1" t="str">
        <f>"QC"</f>
        <v>QC</v>
      </c>
      <c r="E727" s="1" t="str">
        <f>"Quebec"</f>
        <v>Quebec</v>
      </c>
      <c r="F727" s="1" t="str">
        <f>"Yasmina"</f>
        <v>Yasmina</v>
      </c>
      <c r="G727" s="1" t="str">
        <f>"Echave"</f>
        <v>Echave</v>
      </c>
      <c r="H727" s="1" t="str">
        <f>"0222114"</f>
        <v>0222114</v>
      </c>
      <c r="I727" s="1" t="str">
        <f t="shared" si="104"/>
        <v>F</v>
      </c>
      <c r="J727" s="2">
        <v>2003</v>
      </c>
      <c r="K727" s="1" t="str">
        <f>"3k"</f>
        <v>3k</v>
      </c>
      <c r="L727" s="1" t="str">
        <f>"U18"</f>
        <v>U18</v>
      </c>
      <c r="M727" s="1" t="str">
        <f t="shared" si="105"/>
        <v>-48</v>
      </c>
      <c r="N727" s="1" t="str">
        <f>""</f>
        <v/>
      </c>
      <c r="O727" s="1">
        <v>1</v>
      </c>
      <c r="P727" s="1"/>
      <c r="Q727" t="s">
        <v>293</v>
      </c>
    </row>
    <row r="728" spans="1:17" x14ac:dyDescent="0.25">
      <c r="A728" t="str">
        <f>"2018-10-04 07:08:35"</f>
        <v>2018-10-04 07:08:35</v>
      </c>
      <c r="B728" s="1" t="str">
        <f>""</f>
        <v/>
      </c>
      <c r="C728" s="1" t="str">
        <f>"Burnaby Judo Club"</f>
        <v>Burnaby Judo Club</v>
      </c>
      <c r="D728" s="1" t="str">
        <f>"BC"</f>
        <v>BC</v>
      </c>
      <c r="E728" s="1" t="str">
        <f>"British Columbia"</f>
        <v>British Columbia</v>
      </c>
      <c r="F728" s="1" t="str">
        <f>"Rakiia"</f>
        <v>Rakiia</v>
      </c>
      <c r="G728" s="1" t="str">
        <f>"Lolieva"</f>
        <v>Lolieva</v>
      </c>
      <c r="H728" s="1" t="str">
        <f>"0222039"</f>
        <v>0222039</v>
      </c>
      <c r="I728" s="1" t="str">
        <f t="shared" si="104"/>
        <v>F</v>
      </c>
      <c r="J728" s="2">
        <v>2003</v>
      </c>
      <c r="K728" s="1" t="str">
        <f>"2k"</f>
        <v>2k</v>
      </c>
      <c r="L728" s="1" t="s">
        <v>121</v>
      </c>
      <c r="M728" s="1" t="str">
        <f t="shared" si="105"/>
        <v>-48</v>
      </c>
      <c r="N728" s="1" t="str">
        <f>""</f>
        <v/>
      </c>
      <c r="O728" s="1">
        <v>2</v>
      </c>
      <c r="P728" s="1"/>
      <c r="Q728" t="s">
        <v>293</v>
      </c>
    </row>
    <row r="729" spans="1:17" x14ac:dyDescent="0.25">
      <c r="A729" t="str">
        <f>"2018-10-18 14:33:59"</f>
        <v>2018-10-18 14:33:59</v>
      </c>
      <c r="B729" s="1" t="str">
        <f>""</f>
        <v/>
      </c>
      <c r="C729" s="1" t="str">
        <f>"Tokugawa Judo Club"</f>
        <v>Tokugawa Judo Club</v>
      </c>
      <c r="D729" s="1" t="str">
        <f>"AB"</f>
        <v>AB</v>
      </c>
      <c r="E729" s="1" t="str">
        <f>"Alberta"</f>
        <v>Alberta</v>
      </c>
      <c r="F729" s="1" t="str">
        <f>"Anna"</f>
        <v>Anna</v>
      </c>
      <c r="G729" s="1" t="str">
        <f>"Prus-Czarnecka"</f>
        <v>Prus-Czarnecka</v>
      </c>
      <c r="H729" s="1" t="str">
        <f>"0170045"</f>
        <v>0170045</v>
      </c>
      <c r="I729" s="1" t="str">
        <f t="shared" si="104"/>
        <v>F</v>
      </c>
      <c r="J729" s="2">
        <v>2003</v>
      </c>
      <c r="K729" s="1" t="str">
        <f>"1k"</f>
        <v>1k</v>
      </c>
      <c r="L729" s="1" t="str">
        <f>"U18"</f>
        <v>U18</v>
      </c>
      <c r="M729" s="1" t="str">
        <f t="shared" si="105"/>
        <v>-48</v>
      </c>
      <c r="N729" s="1" t="str">
        <f>""</f>
        <v/>
      </c>
      <c r="O729" s="1">
        <v>1</v>
      </c>
      <c r="P729" s="1"/>
      <c r="Q729" t="s">
        <v>293</v>
      </c>
    </row>
    <row r="730" spans="1:17" x14ac:dyDescent="0.25">
      <c r="A730" t="str">
        <f>"2018-10-20 21:45:11"</f>
        <v>2018-10-20 21:45:11</v>
      </c>
      <c r="B730" s="1" t="str">
        <f>""</f>
        <v/>
      </c>
      <c r="C730" s="1" t="str">
        <f>"Judo Otoshi Dieppe"</f>
        <v>Judo Otoshi Dieppe</v>
      </c>
      <c r="D730" s="1" t="str">
        <f>"NB"</f>
        <v>NB</v>
      </c>
      <c r="E730" s="1" t="str">
        <f>"New Brunswick"</f>
        <v>New Brunswick</v>
      </c>
      <c r="F730" s="1" t="str">
        <f>"Mahee"</f>
        <v>Mahee</v>
      </c>
      <c r="G730" s="1" t="str">
        <f>"Savoie"</f>
        <v>Savoie</v>
      </c>
      <c r="H730" s="1" t="str">
        <f>"0201135"</f>
        <v>0201135</v>
      </c>
      <c r="I730" s="1" t="str">
        <f t="shared" si="104"/>
        <v>F</v>
      </c>
      <c r="J730" s="2">
        <v>2005</v>
      </c>
      <c r="K730" s="1" t="str">
        <f>"2k"</f>
        <v>2k</v>
      </c>
      <c r="L730" s="1" t="s">
        <v>121</v>
      </c>
      <c r="M730" s="1" t="str">
        <f t="shared" si="105"/>
        <v>-48</v>
      </c>
      <c r="N730" s="1" t="str">
        <f>""</f>
        <v/>
      </c>
      <c r="O730" s="1">
        <v>2</v>
      </c>
      <c r="P730" s="1" t="s">
        <v>270</v>
      </c>
      <c r="Q730" t="s">
        <v>293</v>
      </c>
    </row>
    <row r="731" spans="1:17" x14ac:dyDescent="0.25">
      <c r="A731" t="str">
        <f>"2018-10-22 21:51:47"</f>
        <v>2018-10-22 21:51:47</v>
      </c>
      <c r="B731" s="1" t="str">
        <f>""</f>
        <v/>
      </c>
      <c r="C731" s="1" t="str">
        <f>"Campbell River Judo Club"</f>
        <v>Campbell River Judo Club</v>
      </c>
      <c r="D731" s="1" t="str">
        <f>"BC"</f>
        <v>BC</v>
      </c>
      <c r="E731" s="1" t="str">
        <f>"British Columbia"</f>
        <v>British Columbia</v>
      </c>
      <c r="F731" s="1" t="str">
        <f>"Olivia"</f>
        <v>Olivia</v>
      </c>
      <c r="G731" s="1" t="str">
        <f>"Sheehan"</f>
        <v>Sheehan</v>
      </c>
      <c r="H731" s="1" t="str">
        <f>"0203324"</f>
        <v>0203324</v>
      </c>
      <c r="I731" s="1" t="str">
        <f t="shared" si="104"/>
        <v>F</v>
      </c>
      <c r="J731" s="2">
        <v>2004</v>
      </c>
      <c r="K731" s="1" t="str">
        <f>"2k"</f>
        <v>2k</v>
      </c>
      <c r="L731" s="1" t="s">
        <v>121</v>
      </c>
      <c r="M731" s="1" t="str">
        <f t="shared" si="105"/>
        <v>-48</v>
      </c>
      <c r="N731" s="1" t="str">
        <f>""</f>
        <v/>
      </c>
      <c r="O731" s="1">
        <v>2</v>
      </c>
      <c r="P731" s="1"/>
      <c r="Q731" t="s">
        <v>293</v>
      </c>
    </row>
    <row r="732" spans="1:17" x14ac:dyDescent="0.25">
      <c r="A732" t="str">
        <f>"2018-10-20 21:45:11"</f>
        <v>2018-10-20 21:45:11</v>
      </c>
      <c r="B732" s="1" t="str">
        <f>""</f>
        <v/>
      </c>
      <c r="C732" s="1" t="str">
        <f>"Club de judo Seiko"</f>
        <v>Club de judo Seiko</v>
      </c>
      <c r="D732" s="1" t="str">
        <f>"QC"</f>
        <v>QC</v>
      </c>
      <c r="E732" s="1" t="str">
        <f>"Quebec"</f>
        <v>Quebec</v>
      </c>
      <c r="F732" s="1" t="str">
        <f>"Mathilde"</f>
        <v>Mathilde</v>
      </c>
      <c r="G732" s="1" t="str">
        <f>"Simard-Lejuene"</f>
        <v>Simard-Lejuene</v>
      </c>
      <c r="H732" s="1" t="str">
        <f>"0200069"</f>
        <v>0200069</v>
      </c>
      <c r="I732" s="1" t="str">
        <f t="shared" si="104"/>
        <v>F</v>
      </c>
      <c r="J732" s="2">
        <v>2004</v>
      </c>
      <c r="K732" s="1" t="str">
        <f>"2k"</f>
        <v>2k</v>
      </c>
      <c r="L732" s="1" t="s">
        <v>121</v>
      </c>
      <c r="M732" s="1" t="str">
        <f t="shared" si="105"/>
        <v>-48</v>
      </c>
      <c r="N732" s="1" t="str">
        <f>""</f>
        <v/>
      </c>
      <c r="O732" s="1">
        <v>2</v>
      </c>
      <c r="P732" s="1"/>
      <c r="Q732" t="s">
        <v>293</v>
      </c>
    </row>
    <row r="733" spans="1:17" x14ac:dyDescent="0.25">
      <c r="A733" t="str">
        <f>"2018-10-17 22:19:31"</f>
        <v>2018-10-17 22:19:31</v>
      </c>
      <c r="B733" s="1" t="str">
        <f>""</f>
        <v/>
      </c>
      <c r="C733" s="1" t="str">
        <f>"Hayabusakan"</f>
        <v>Hayabusakan</v>
      </c>
      <c r="D733" s="1" t="str">
        <f>"ON"</f>
        <v>ON</v>
      </c>
      <c r="E733" s="1" t="str">
        <f>"Ontario"</f>
        <v>Ontario</v>
      </c>
      <c r="F733" s="1" t="str">
        <f>"Sofia"</f>
        <v>Sofia</v>
      </c>
      <c r="G733" s="1" t="str">
        <f>"Teper"</f>
        <v>Teper</v>
      </c>
      <c r="H733" s="1" t="str">
        <f>"0161336"</f>
        <v>0161336</v>
      </c>
      <c r="I733" s="1" t="str">
        <f t="shared" si="104"/>
        <v>F</v>
      </c>
      <c r="J733" s="2">
        <v>2003</v>
      </c>
      <c r="K733" s="1" t="str">
        <f>"2k"</f>
        <v>2k</v>
      </c>
      <c r="L733" s="1" t="str">
        <f>"U18"</f>
        <v>U18</v>
      </c>
      <c r="M733" s="1" t="str">
        <f t="shared" si="105"/>
        <v>-48</v>
      </c>
      <c r="N733" s="1" t="str">
        <f>""</f>
        <v/>
      </c>
      <c r="O733" s="1">
        <v>1</v>
      </c>
      <c r="P733" s="1"/>
      <c r="Q733" t="s">
        <v>293</v>
      </c>
    </row>
    <row r="734" spans="1:17" x14ac:dyDescent="0.25">
      <c r="A734" t="str">
        <f>"2018-10-18 12:34:31"</f>
        <v>2018-10-18 12:34:31</v>
      </c>
      <c r="B734" s="1" t="str">
        <f>""</f>
        <v/>
      </c>
      <c r="C734" s="1" t="str">
        <f>"Ishi Yama Institute of Judo"</f>
        <v>Ishi Yama Institute of Judo</v>
      </c>
      <c r="D734" s="1" t="str">
        <f>"AB"</f>
        <v>AB</v>
      </c>
      <c r="E734" s="1" t="str">
        <f>"Alberta"</f>
        <v>Alberta</v>
      </c>
      <c r="F734" s="1" t="str">
        <f>"Emilija Ema"</f>
        <v>Emilija Ema</v>
      </c>
      <c r="G734" s="1" t="str">
        <f>"Tesanovic"</f>
        <v>Tesanovic</v>
      </c>
      <c r="H734" s="1" t="str">
        <f>"0166089"</f>
        <v>0166089</v>
      </c>
      <c r="I734" s="1" t="str">
        <f t="shared" si="104"/>
        <v>F</v>
      </c>
      <c r="J734" s="2">
        <v>2002</v>
      </c>
      <c r="K734" s="1" t="str">
        <f t="shared" ref="K734:K739" si="106">"1k"</f>
        <v>1k</v>
      </c>
      <c r="L734" s="1" t="s">
        <v>121</v>
      </c>
      <c r="M734" s="1" t="str">
        <f t="shared" si="105"/>
        <v>-48</v>
      </c>
      <c r="N734" s="1" t="str">
        <f>""</f>
        <v/>
      </c>
      <c r="O734" s="1">
        <v>2</v>
      </c>
      <c r="P734" s="1"/>
      <c r="Q734" t="s">
        <v>293</v>
      </c>
    </row>
    <row r="735" spans="1:17" x14ac:dyDescent="0.25">
      <c r="A735" t="str">
        <f>"2018-10-19 17:43:48"</f>
        <v>2018-10-19 17:43:48</v>
      </c>
      <c r="B735" s="1" t="str">
        <f>""</f>
        <v/>
      </c>
      <c r="C735" s="1" t="str">
        <f>"Club de judo de Varennes"</f>
        <v>Club de judo de Varennes</v>
      </c>
      <c r="D735" s="1" t="str">
        <f>"QC"</f>
        <v>QC</v>
      </c>
      <c r="E735" s="1" t="str">
        <f>"Quebec"</f>
        <v>Quebec</v>
      </c>
      <c r="F735" s="1" t="str">
        <f>"Beatrice"</f>
        <v>Beatrice</v>
      </c>
      <c r="G735" s="1" t="str">
        <f>"Turcotte"</f>
        <v>Turcotte</v>
      </c>
      <c r="H735" s="1" t="str">
        <f>"0202799"</f>
        <v>0202799</v>
      </c>
      <c r="I735" s="1" t="str">
        <f t="shared" si="104"/>
        <v>F</v>
      </c>
      <c r="J735" s="2">
        <v>2003</v>
      </c>
      <c r="K735" s="1" t="str">
        <f t="shared" si="106"/>
        <v>1k</v>
      </c>
      <c r="L735" s="1" t="str">
        <f>"U18"</f>
        <v>U18</v>
      </c>
      <c r="M735" s="1" t="str">
        <f t="shared" si="105"/>
        <v>-48</v>
      </c>
      <c r="N735" s="1" t="str">
        <f>""</f>
        <v/>
      </c>
      <c r="O735" s="1">
        <v>1</v>
      </c>
      <c r="P735" s="1"/>
      <c r="Q735" t="s">
        <v>293</v>
      </c>
    </row>
    <row r="736" spans="1:17" x14ac:dyDescent="0.25">
      <c r="A736" t="str">
        <f>"2018-10-21 15:09:53"</f>
        <v>2018-10-21 15:09:53</v>
      </c>
      <c r="B736" s="1" t="str">
        <f>""</f>
        <v/>
      </c>
      <c r="C736" s="1" t="str">
        <f>"Club de judo de la vieille capitale"</f>
        <v>Club de judo de la vieille capitale</v>
      </c>
      <c r="D736" s="1" t="str">
        <f>"QC"</f>
        <v>QC</v>
      </c>
      <c r="E736" s="1" t="str">
        <f>"Quebec"</f>
        <v>Quebec</v>
      </c>
      <c r="F736" s="1" t="str">
        <f>"William"</f>
        <v>William</v>
      </c>
      <c r="G736" s="1" t="str">
        <f>"Abraini"</f>
        <v>Abraini</v>
      </c>
      <c r="H736" s="1" t="str">
        <f>"0176333"</f>
        <v>0176333</v>
      </c>
      <c r="I736" s="1" t="str">
        <f t="shared" ref="I736:I751" si="107">"M"</f>
        <v>M</v>
      </c>
      <c r="J736" s="2">
        <v>2003</v>
      </c>
      <c r="K736" s="1" t="str">
        <f t="shared" si="106"/>
        <v>1k</v>
      </c>
      <c r="L736" s="1" t="str">
        <f>"U18"</f>
        <v>U18</v>
      </c>
      <c r="M736" s="1" t="str">
        <f t="shared" ref="M736:M751" si="108">"-50"</f>
        <v>-50</v>
      </c>
      <c r="N736" s="1" t="str">
        <f>""</f>
        <v/>
      </c>
      <c r="O736" s="1">
        <v>1</v>
      </c>
      <c r="P736" s="1"/>
      <c r="Q736" t="s">
        <v>294</v>
      </c>
    </row>
    <row r="737" spans="1:17" x14ac:dyDescent="0.25">
      <c r="A737" t="str">
        <f>"2018-10-18 21:17:51"</f>
        <v>2018-10-18 21:17:51</v>
      </c>
      <c r="B737" s="1" t="str">
        <f>""</f>
        <v/>
      </c>
      <c r="C737" s="1" t="str">
        <f>"Club de judo Métropolitain inc."</f>
        <v>Club de judo Métropolitain inc.</v>
      </c>
      <c r="D737" s="1" t="str">
        <f>"QC"</f>
        <v>QC</v>
      </c>
      <c r="E737" s="1" t="str">
        <f>"Quebec"</f>
        <v>Quebec</v>
      </c>
      <c r="F737" s="1" t="str">
        <f>"Norbert Peter"</f>
        <v>Norbert Peter</v>
      </c>
      <c r="G737" s="1" t="str">
        <f>"Andras"</f>
        <v>Andras</v>
      </c>
      <c r="H737" s="1" t="str">
        <f>"0223679"</f>
        <v>0223679</v>
      </c>
      <c r="I737" s="1" t="str">
        <f t="shared" si="107"/>
        <v>M</v>
      </c>
      <c r="J737" s="2">
        <v>2004</v>
      </c>
      <c r="K737" s="1" t="str">
        <f t="shared" si="106"/>
        <v>1k</v>
      </c>
      <c r="L737" s="1" t="s">
        <v>121</v>
      </c>
      <c r="M737" s="1" t="str">
        <f t="shared" si="108"/>
        <v>-50</v>
      </c>
      <c r="N737" s="1" t="str">
        <f>""</f>
        <v/>
      </c>
      <c r="O737" s="1">
        <v>2</v>
      </c>
      <c r="P737" s="1"/>
      <c r="Q737" t="s">
        <v>294</v>
      </c>
    </row>
    <row r="738" spans="1:17" x14ac:dyDescent="0.25">
      <c r="A738" t="str">
        <f>"2018-10-21 19:41:16"</f>
        <v>2018-10-21 19:41:16</v>
      </c>
      <c r="B738" s="1" t="str">
        <f>""</f>
        <v/>
      </c>
      <c r="C738" s="1" t="str">
        <f>"Club de judo St-Jean Bosco de Hull"</f>
        <v>Club de judo St-Jean Bosco de Hull</v>
      </c>
      <c r="D738" s="1" t="str">
        <f>"QC"</f>
        <v>QC</v>
      </c>
      <c r="E738" s="1" t="str">
        <f>"Quebec"</f>
        <v>Quebec</v>
      </c>
      <c r="F738" s="1" t="str">
        <f>"Félix-Olivier"</f>
        <v>Félix-Olivier</v>
      </c>
      <c r="G738" s="1" t="str">
        <f>"Bertrand"</f>
        <v>Bertrand</v>
      </c>
      <c r="H738" s="1" t="str">
        <f>"0176269"</f>
        <v>0176269</v>
      </c>
      <c r="I738" s="1" t="str">
        <f t="shared" si="107"/>
        <v>M</v>
      </c>
      <c r="J738" s="2">
        <v>2003</v>
      </c>
      <c r="K738" s="1" t="str">
        <f t="shared" si="106"/>
        <v>1k</v>
      </c>
      <c r="L738" s="1" t="str">
        <f>"U18"</f>
        <v>U18</v>
      </c>
      <c r="M738" s="1" t="str">
        <f t="shared" si="108"/>
        <v>-50</v>
      </c>
      <c r="N738" s="1" t="str">
        <f>""</f>
        <v/>
      </c>
      <c r="O738" s="1">
        <v>1</v>
      </c>
      <c r="P738" s="1"/>
      <c r="Q738" t="s">
        <v>294</v>
      </c>
    </row>
    <row r="739" spans="1:17" x14ac:dyDescent="0.25">
      <c r="A739" t="str">
        <f>"2018-10-10 11:48:46"</f>
        <v>2018-10-10 11:48:46</v>
      </c>
      <c r="B739" s="1" t="str">
        <f>""</f>
        <v/>
      </c>
      <c r="C739" s="1" t="str">
        <f>"Club judokas Jonquière inc."</f>
        <v>Club judokas Jonquière inc.</v>
      </c>
      <c r="D739" s="1" t="str">
        <f>"QC"</f>
        <v>QC</v>
      </c>
      <c r="E739" s="1" t="str">
        <f>"Quebec"</f>
        <v>Quebec</v>
      </c>
      <c r="F739" s="1" t="str">
        <f>"Olivier"</f>
        <v>Olivier</v>
      </c>
      <c r="G739" s="1" t="str">
        <f>"Gagnon"</f>
        <v>Gagnon</v>
      </c>
      <c r="H739" s="1" t="str">
        <f>"0184262"</f>
        <v>0184262</v>
      </c>
      <c r="I739" s="1" t="str">
        <f t="shared" si="107"/>
        <v>M</v>
      </c>
      <c r="J739" s="2">
        <v>2003</v>
      </c>
      <c r="K739" s="1" t="str">
        <f t="shared" si="106"/>
        <v>1k</v>
      </c>
      <c r="L739" s="1" t="str">
        <f>"U18"</f>
        <v>U18</v>
      </c>
      <c r="M739" s="1" t="str">
        <f t="shared" si="108"/>
        <v>-50</v>
      </c>
      <c r="N739" s="1" t="str">
        <f>""</f>
        <v/>
      </c>
      <c r="O739" s="1">
        <v>1</v>
      </c>
      <c r="P739" s="1"/>
      <c r="Q739" t="s">
        <v>294</v>
      </c>
    </row>
    <row r="740" spans="1:17" x14ac:dyDescent="0.25">
      <c r="A740" t="str">
        <f>"2018-10-19 18:07:28"</f>
        <v>2018-10-19 18:07:28</v>
      </c>
      <c r="B740" s="1" t="str">
        <f>""</f>
        <v/>
      </c>
      <c r="C740" s="1" t="str">
        <f>"Kokushikai Judo"</f>
        <v>Kokushikai Judo</v>
      </c>
      <c r="D740" s="1" t="str">
        <f>"BC"</f>
        <v>BC</v>
      </c>
      <c r="E740" s="1" t="str">
        <f>"British Columbia"</f>
        <v>British Columbia</v>
      </c>
      <c r="F740" s="1" t="str">
        <f>"Eli"</f>
        <v>Eli</v>
      </c>
      <c r="G740" s="1" t="str">
        <f>"Grant"</f>
        <v>Grant</v>
      </c>
      <c r="H740" s="1" t="str">
        <f>"0171725"</f>
        <v>0171725</v>
      </c>
      <c r="I740" s="1" t="str">
        <f t="shared" si="107"/>
        <v>M</v>
      </c>
      <c r="J740" s="2">
        <v>2004</v>
      </c>
      <c r="K740" s="1" t="str">
        <f>"2k"</f>
        <v>2k</v>
      </c>
      <c r="L740" s="1" t="s">
        <v>121</v>
      </c>
      <c r="M740" s="1" t="str">
        <f t="shared" si="108"/>
        <v>-50</v>
      </c>
      <c r="N740" s="1" t="str">
        <f>""</f>
        <v/>
      </c>
      <c r="O740" s="1">
        <v>2</v>
      </c>
      <c r="P740" s="1"/>
      <c r="Q740" t="s">
        <v>294</v>
      </c>
    </row>
    <row r="741" spans="1:17" x14ac:dyDescent="0.25">
      <c r="A741" t="str">
        <f>"2018-10-18 12:41:29"</f>
        <v>2018-10-18 12:41:29</v>
      </c>
      <c r="B741" s="1" t="str">
        <f>""</f>
        <v/>
      </c>
      <c r="C741" s="1" t="str">
        <f>"Burnaby Judo Club"</f>
        <v>Burnaby Judo Club</v>
      </c>
      <c r="D741" s="1" t="str">
        <f>"BC"</f>
        <v>BC</v>
      </c>
      <c r="E741" s="1" t="str">
        <f>"British Columbia"</f>
        <v>British Columbia</v>
      </c>
      <c r="F741" s="1" t="str">
        <f>"Maximus"</f>
        <v>Maximus</v>
      </c>
      <c r="G741" s="1" t="str">
        <f>"Joe"</f>
        <v>Joe</v>
      </c>
      <c r="H741" s="1" t="str">
        <f>"0206627"</f>
        <v>0206627</v>
      </c>
      <c r="I741" s="1" t="str">
        <f t="shared" si="107"/>
        <v>M</v>
      </c>
      <c r="J741" s="2">
        <v>2002</v>
      </c>
      <c r="K741" s="1" t="str">
        <f>"1k"</f>
        <v>1k</v>
      </c>
      <c r="L741" s="1" t="str">
        <f>"U18"</f>
        <v>U18</v>
      </c>
      <c r="M741" s="1" t="str">
        <f t="shared" si="108"/>
        <v>-50</v>
      </c>
      <c r="N741" s="1" t="str">
        <f>""</f>
        <v/>
      </c>
      <c r="O741" s="1">
        <v>1</v>
      </c>
      <c r="P741" s="1"/>
      <c r="Q741" t="s">
        <v>294</v>
      </c>
    </row>
    <row r="742" spans="1:17" x14ac:dyDescent="0.25">
      <c r="A742" t="str">
        <f>"2018-10-22 17:41:08"</f>
        <v>2018-10-22 17:41:08</v>
      </c>
      <c r="B742" s="1" t="str">
        <f>""</f>
        <v/>
      </c>
      <c r="C742" s="1" t="str">
        <f>"Police Judo Junior"</f>
        <v>Police Judo Junior</v>
      </c>
      <c r="D742" s="1" t="str">
        <f>"BC"</f>
        <v>BC</v>
      </c>
      <c r="E742" s="1" t="str">
        <f>"British Columbia"</f>
        <v>British Columbia</v>
      </c>
      <c r="F742" s="1" t="str">
        <f>"Aidan"</f>
        <v>Aidan</v>
      </c>
      <c r="G742" s="1" t="str">
        <f>"Keyes"</f>
        <v>Keyes</v>
      </c>
      <c r="H742" s="1" t="str">
        <f>"0221304"</f>
        <v>0221304</v>
      </c>
      <c r="I742" s="1" t="str">
        <f t="shared" si="107"/>
        <v>M</v>
      </c>
      <c r="J742" s="2">
        <v>2003</v>
      </c>
      <c r="K742" s="1" t="str">
        <f>"2k"</f>
        <v>2k</v>
      </c>
      <c r="L742" s="1" t="str">
        <f>"U18"</f>
        <v>U18</v>
      </c>
      <c r="M742" s="1" t="str">
        <f t="shared" si="108"/>
        <v>-50</v>
      </c>
      <c r="N742" s="1" t="str">
        <f>""</f>
        <v/>
      </c>
      <c r="O742" s="1">
        <v>1</v>
      </c>
      <c r="P742" s="1"/>
      <c r="Q742" t="s">
        <v>294</v>
      </c>
    </row>
    <row r="743" spans="1:17" x14ac:dyDescent="0.25">
      <c r="A743" t="str">
        <f>"2018-10-02 23:27:17"</f>
        <v>2018-10-02 23:27:17</v>
      </c>
      <c r="B743" s="1" t="str">
        <f>""</f>
        <v/>
      </c>
      <c r="C743" s="1" t="str">
        <f>"York Judo Club"</f>
        <v>York Judo Club</v>
      </c>
      <c r="D743" s="1" t="str">
        <f>"ON"</f>
        <v>ON</v>
      </c>
      <c r="E743" s="1" t="str">
        <f>"Ontario"</f>
        <v>Ontario</v>
      </c>
      <c r="F743" s="1" t="str">
        <f>"Connor"</f>
        <v>Connor</v>
      </c>
      <c r="G743" s="1" t="str">
        <f>"Lau"</f>
        <v>Lau</v>
      </c>
      <c r="H743" s="1" t="str">
        <f>"0172986"</f>
        <v>0172986</v>
      </c>
      <c r="I743" s="1" t="str">
        <f t="shared" si="107"/>
        <v>M</v>
      </c>
      <c r="J743" s="2">
        <v>2005</v>
      </c>
      <c r="K743" s="1" t="str">
        <f>"3k"</f>
        <v>3k</v>
      </c>
      <c r="L743" s="1" t="s">
        <v>121</v>
      </c>
      <c r="M743" s="1" t="str">
        <f t="shared" si="108"/>
        <v>-50</v>
      </c>
      <c r="N743" s="1" t="str">
        <f>""</f>
        <v/>
      </c>
      <c r="O743" s="1">
        <v>2</v>
      </c>
      <c r="P743" s="1" t="s">
        <v>270</v>
      </c>
      <c r="Q743" t="s">
        <v>294</v>
      </c>
    </row>
    <row r="744" spans="1:17" x14ac:dyDescent="0.25">
      <c r="A744" t="str">
        <f>"2018-10-19 18:07:28"</f>
        <v>2018-10-19 18:07:28</v>
      </c>
      <c r="B744" s="1" t="str">
        <f>"2018-10-24 00:02:43"</f>
        <v>2018-10-24 00:02:43</v>
      </c>
      <c r="C744" s="1" t="str">
        <f>"Tri-Valley Judo"</f>
        <v>Tri-Valley Judo</v>
      </c>
      <c r="D744" s="1" t="s">
        <v>106</v>
      </c>
      <c r="E744" s="1" t="str">
        <f>"California"</f>
        <v>California</v>
      </c>
      <c r="F744" s="1" t="str">
        <f>"Eric"</f>
        <v>Eric</v>
      </c>
      <c r="G744" s="1" t="str">
        <f>"Livshiz"</f>
        <v>Livshiz</v>
      </c>
      <c r="H744" s="1" t="str">
        <f>"AutreFederation"</f>
        <v>AutreFederation</v>
      </c>
      <c r="I744" s="1" t="str">
        <f t="shared" si="107"/>
        <v>M</v>
      </c>
      <c r="J744" s="2">
        <v>2003</v>
      </c>
      <c r="K744" s="1" t="str">
        <f>"1k"</f>
        <v>1k</v>
      </c>
      <c r="L744" s="1" t="str">
        <f>"U18"</f>
        <v>U18</v>
      </c>
      <c r="M744" s="1" t="str">
        <f t="shared" si="108"/>
        <v>-50</v>
      </c>
      <c r="N744" s="1" t="str">
        <f>""</f>
        <v/>
      </c>
      <c r="O744" s="1">
        <v>1</v>
      </c>
      <c r="P744" s="1"/>
      <c r="Q744" t="s">
        <v>294</v>
      </c>
    </row>
    <row r="745" spans="1:17" x14ac:dyDescent="0.25">
      <c r="A745" t="str">
        <f>"2018-10-14 16:02:37"</f>
        <v>2018-10-14 16:02:37</v>
      </c>
      <c r="B745" s="1" t="str">
        <f>""</f>
        <v/>
      </c>
      <c r="C745" s="1" t="str">
        <f>"Club de judo Torii"</f>
        <v>Club de judo Torii</v>
      </c>
      <c r="D745" s="1" t="str">
        <f>"QC"</f>
        <v>QC</v>
      </c>
      <c r="E745" s="1" t="str">
        <f>"Quebec"</f>
        <v>Quebec</v>
      </c>
      <c r="F745" s="1" t="str">
        <f>"Rami"</f>
        <v>Rami</v>
      </c>
      <c r="G745" s="1" t="str">
        <f>"Medjdoubi"</f>
        <v>Medjdoubi</v>
      </c>
      <c r="H745" s="1" t="str">
        <f>"0168539"</f>
        <v>0168539</v>
      </c>
      <c r="I745" s="1" t="str">
        <f t="shared" si="107"/>
        <v>M</v>
      </c>
      <c r="J745" s="2">
        <v>2003</v>
      </c>
      <c r="K745" s="1" t="str">
        <f>"2k"</f>
        <v>2k</v>
      </c>
      <c r="L745" s="1" t="str">
        <f>"U18"</f>
        <v>U18</v>
      </c>
      <c r="M745" s="1" t="str">
        <f t="shared" si="108"/>
        <v>-50</v>
      </c>
      <c r="N745" s="1" t="str">
        <f>""</f>
        <v/>
      </c>
      <c r="O745" s="1">
        <v>1</v>
      </c>
      <c r="P745" s="1"/>
      <c r="Q745" t="s">
        <v>294</v>
      </c>
    </row>
    <row r="746" spans="1:17" x14ac:dyDescent="0.25">
      <c r="B746" s="1" t="str">
        <f>""</f>
        <v/>
      </c>
      <c r="C746" s="1" t="str">
        <f>"Taifu Judo Club"</f>
        <v>Taifu Judo Club</v>
      </c>
      <c r="D746" s="1" t="str">
        <f>"ON"</f>
        <v>ON</v>
      </c>
      <c r="E746" s="1" t="str">
        <f>"Ontario"</f>
        <v>Ontario</v>
      </c>
      <c r="F746" s="1" t="str">
        <f>"David"</f>
        <v>David</v>
      </c>
      <c r="G746" s="1" t="str">
        <f>"Melkonian"</f>
        <v>Melkonian</v>
      </c>
      <c r="H746" s="1" t="str">
        <f>"0192340"</f>
        <v>0192340</v>
      </c>
      <c r="I746" s="1" t="str">
        <f t="shared" si="107"/>
        <v>M</v>
      </c>
      <c r="J746" s="2">
        <v>2005</v>
      </c>
      <c r="K746" s="1" t="str">
        <f>"2k"</f>
        <v>2k</v>
      </c>
      <c r="L746" s="1" t="s">
        <v>121</v>
      </c>
      <c r="M746" s="1" t="str">
        <f t="shared" si="108"/>
        <v>-50</v>
      </c>
      <c r="N746" s="1" t="str">
        <f>""</f>
        <v/>
      </c>
      <c r="O746" s="10">
        <v>2</v>
      </c>
      <c r="P746" s="1" t="s">
        <v>292</v>
      </c>
      <c r="Q746" t="s">
        <v>294</v>
      </c>
    </row>
    <row r="747" spans="1:17" x14ac:dyDescent="0.25">
      <c r="A747" t="str">
        <f>"2018-10-23 08:58:42"</f>
        <v>2018-10-23 08:58:42</v>
      </c>
      <c r="B747" s="1" t="str">
        <f>""</f>
        <v/>
      </c>
      <c r="C747" s="1" t="str">
        <f>"Toshidokan Judo Club"</f>
        <v>Toshidokan Judo Club</v>
      </c>
      <c r="D747" s="1" t="str">
        <f>"PE"</f>
        <v>PE</v>
      </c>
      <c r="E747" s="1" t="str">
        <f>"Prince Edward Island"</f>
        <v>Prince Edward Island</v>
      </c>
      <c r="F747" s="1" t="str">
        <f>"Micheal"</f>
        <v>Micheal</v>
      </c>
      <c r="G747" s="1" t="str">
        <f>"Perry"</f>
        <v>Perry</v>
      </c>
      <c r="H747" s="1" t="str">
        <f>"0185041"</f>
        <v>0185041</v>
      </c>
      <c r="I747" s="1" t="str">
        <f t="shared" si="107"/>
        <v>M</v>
      </c>
      <c r="J747" s="2">
        <v>2004</v>
      </c>
      <c r="K747" s="1" t="str">
        <f>"1k"</f>
        <v>1k</v>
      </c>
      <c r="L747" s="1" t="str">
        <f>"U18"</f>
        <v>U18</v>
      </c>
      <c r="M747" s="1" t="str">
        <f t="shared" si="108"/>
        <v>-50</v>
      </c>
      <c r="N747" s="1" t="str">
        <f>""</f>
        <v/>
      </c>
      <c r="O747" s="1">
        <v>1</v>
      </c>
      <c r="P747" s="1"/>
      <c r="Q747" t="s">
        <v>294</v>
      </c>
    </row>
    <row r="748" spans="1:17" x14ac:dyDescent="0.25">
      <c r="A748" t="str">
        <f>"2018-10-18 12:41:29"</f>
        <v>2018-10-18 12:41:29</v>
      </c>
      <c r="B748" s="1" t="str">
        <f>""</f>
        <v/>
      </c>
      <c r="C748" s="1" t="str">
        <f>"Bushido"</f>
        <v>Bushido</v>
      </c>
      <c r="D748" s="1" t="str">
        <f>"NB"</f>
        <v>NB</v>
      </c>
      <c r="E748" s="1" t="str">
        <f>"New Brunswick"</f>
        <v>New Brunswick</v>
      </c>
      <c r="F748" s="1" t="str">
        <f>"Chris"</f>
        <v>Chris</v>
      </c>
      <c r="G748" s="1" t="str">
        <f>"Poitras"</f>
        <v>Poitras</v>
      </c>
      <c r="H748" s="1" t="str">
        <f>"0164739"</f>
        <v>0164739</v>
      </c>
      <c r="I748" s="1" t="str">
        <f t="shared" si="107"/>
        <v>M</v>
      </c>
      <c r="J748" s="2">
        <v>2003</v>
      </c>
      <c r="K748" s="1" t="str">
        <f>"1k"</f>
        <v>1k</v>
      </c>
      <c r="L748" s="1" t="str">
        <f>"U18"</f>
        <v>U18</v>
      </c>
      <c r="M748" s="1" t="str">
        <f t="shared" si="108"/>
        <v>-50</v>
      </c>
      <c r="N748" s="1" t="str">
        <f>""</f>
        <v/>
      </c>
      <c r="O748" s="1">
        <v>1</v>
      </c>
      <c r="P748" s="1"/>
      <c r="Q748" t="s">
        <v>294</v>
      </c>
    </row>
    <row r="749" spans="1:17" x14ac:dyDescent="0.25">
      <c r="A749" t="str">
        <f>"2018-10-21 23:00:04"</f>
        <v>2018-10-21 23:00:04</v>
      </c>
      <c r="B749" s="1" t="str">
        <f>""</f>
        <v/>
      </c>
      <c r="C749" s="1" t="str">
        <f>"Mill Bay Shidokai"</f>
        <v>Mill Bay Shidokai</v>
      </c>
      <c r="D749" s="1" t="str">
        <f>"BC"</f>
        <v>BC</v>
      </c>
      <c r="E749" s="1" t="str">
        <f>"British Columbia"</f>
        <v>British Columbia</v>
      </c>
      <c r="F749" s="1" t="str">
        <f>"Marcus"</f>
        <v>Marcus</v>
      </c>
      <c r="G749" s="1" t="str">
        <f>"Potts"</f>
        <v>Potts</v>
      </c>
      <c r="H749" s="1" t="str">
        <f>"0204259"</f>
        <v>0204259</v>
      </c>
      <c r="I749" s="1" t="str">
        <f t="shared" si="107"/>
        <v>M</v>
      </c>
      <c r="J749" s="2">
        <v>2004</v>
      </c>
      <c r="K749" s="1" t="str">
        <f>"2k"</f>
        <v>2k</v>
      </c>
      <c r="L749" s="1" t="s">
        <v>121</v>
      </c>
      <c r="M749" s="1" t="str">
        <f t="shared" si="108"/>
        <v>-50</v>
      </c>
      <c r="N749" s="1" t="str">
        <f>""</f>
        <v/>
      </c>
      <c r="O749" s="1">
        <v>2</v>
      </c>
      <c r="P749" s="1"/>
      <c r="Q749" t="s">
        <v>294</v>
      </c>
    </row>
    <row r="750" spans="1:17" x14ac:dyDescent="0.25">
      <c r="B750" s="1" t="str">
        <f>""</f>
        <v/>
      </c>
      <c r="C750" s="1" t="str">
        <f>"Taifu Judo Club"</f>
        <v>Taifu Judo Club</v>
      </c>
      <c r="D750" s="1" t="str">
        <f>"ON"</f>
        <v>ON</v>
      </c>
      <c r="E750" s="1" t="str">
        <f>"Ontario"</f>
        <v>Ontario</v>
      </c>
      <c r="F750" s="1" t="str">
        <f>"Maksim"</f>
        <v>Maksim</v>
      </c>
      <c r="G750" s="1" t="str">
        <f>"Rudakov"</f>
        <v>Rudakov</v>
      </c>
      <c r="H750" s="1" t="str">
        <f>"0192346"</f>
        <v>0192346</v>
      </c>
      <c r="I750" s="1" t="str">
        <f t="shared" si="107"/>
        <v>M</v>
      </c>
      <c r="J750" s="2">
        <v>2005</v>
      </c>
      <c r="K750" s="1" t="str">
        <f>"2k"</f>
        <v>2k</v>
      </c>
      <c r="L750" s="1" t="s">
        <v>121</v>
      </c>
      <c r="M750" s="1" t="str">
        <f t="shared" si="108"/>
        <v>-50</v>
      </c>
      <c r="N750" s="1" t="str">
        <f>""</f>
        <v/>
      </c>
      <c r="O750" s="10">
        <v>2</v>
      </c>
      <c r="P750" s="1" t="s">
        <v>292</v>
      </c>
      <c r="Q750" t="s">
        <v>294</v>
      </c>
    </row>
    <row r="751" spans="1:17" x14ac:dyDescent="0.25">
      <c r="A751" t="str">
        <f>"2018-10-21 23:57:15"</f>
        <v>2018-10-21 23:57:15</v>
      </c>
      <c r="B751" s="1" t="str">
        <f>""</f>
        <v/>
      </c>
      <c r="C751" s="1" t="str">
        <f>"Hart Judo Academy"</f>
        <v>Hart Judo Academy</v>
      </c>
      <c r="D751" s="1" t="str">
        <f>"BC"</f>
        <v>BC</v>
      </c>
      <c r="E751" s="1" t="str">
        <f>"British Columbia"</f>
        <v>British Columbia</v>
      </c>
      <c r="F751" s="1" t="str">
        <f>"Asher"</f>
        <v>Asher</v>
      </c>
      <c r="G751" s="1" t="str">
        <f>"Young"</f>
        <v>Young</v>
      </c>
      <c r="H751" s="1" t="str">
        <f>"0227421"</f>
        <v>0227421</v>
      </c>
      <c r="I751" s="1" t="str">
        <f t="shared" si="107"/>
        <v>M</v>
      </c>
      <c r="J751" s="2">
        <v>2004</v>
      </c>
      <c r="K751" s="1" t="str">
        <f>"2k"</f>
        <v>2k</v>
      </c>
      <c r="L751" s="1" t="s">
        <v>121</v>
      </c>
      <c r="M751" s="1" t="str">
        <f t="shared" si="108"/>
        <v>-50</v>
      </c>
      <c r="N751" s="1" t="str">
        <f>""</f>
        <v/>
      </c>
      <c r="O751" s="1">
        <v>2</v>
      </c>
      <c r="P751" s="1"/>
      <c r="Q751" t="s">
        <v>294</v>
      </c>
    </row>
    <row r="752" spans="1:17" x14ac:dyDescent="0.25">
      <c r="A752" t="str">
        <f>"2018-10-15 20:15:50"</f>
        <v>2018-10-15 20:15:50</v>
      </c>
      <c r="B752" s="1" t="str">
        <f>""</f>
        <v/>
      </c>
      <c r="C752" s="1" t="str">
        <f>"Club de judo St-Jean Bosco de Hull"</f>
        <v>Club de judo St-Jean Bosco de Hull</v>
      </c>
      <c r="D752" s="1" t="str">
        <f>"QC"</f>
        <v>QC</v>
      </c>
      <c r="E752" s="1" t="str">
        <f>"Quebec"</f>
        <v>Quebec</v>
      </c>
      <c r="F752" s="1" t="str">
        <f>"Keren-Ha Pierrette"</f>
        <v>Keren-Ha Pierrette</v>
      </c>
      <c r="G752" s="1" t="str">
        <f>"Akomo Mvolo"</f>
        <v>Akomo Mvolo</v>
      </c>
      <c r="H752" s="1" t="str">
        <f>"0207523"</f>
        <v>0207523</v>
      </c>
      <c r="I752" s="1" t="str">
        <f t="shared" ref="I752:I765" si="109">"F"</f>
        <v>F</v>
      </c>
      <c r="J752" s="2">
        <v>2003</v>
      </c>
      <c r="K752" s="1" t="str">
        <f>"2k"</f>
        <v>2k</v>
      </c>
      <c r="L752" s="1" t="str">
        <f>"U18"</f>
        <v>U18</v>
      </c>
      <c r="M752" s="1" t="str">
        <f t="shared" ref="M752:M765" si="110">"-52"</f>
        <v>-52</v>
      </c>
      <c r="N752" s="1" t="str">
        <f>""</f>
        <v/>
      </c>
      <c r="O752" s="1">
        <v>1</v>
      </c>
      <c r="P752" s="1"/>
      <c r="Q752" t="s">
        <v>295</v>
      </c>
    </row>
    <row r="753" spans="1:17" x14ac:dyDescent="0.25">
      <c r="A753" t="str">
        <f>"2018-10-01 09:39:38"</f>
        <v>2018-10-01 09:39:38</v>
      </c>
      <c r="B753" s="1" t="str">
        <f>""</f>
        <v/>
      </c>
      <c r="C753" s="1" t="str">
        <f>"Club judo St-Leonard"</f>
        <v>Club judo St-Leonard</v>
      </c>
      <c r="D753" s="1" t="str">
        <f>"QC"</f>
        <v>QC</v>
      </c>
      <c r="E753" s="1" t="str">
        <f>"Quebec"</f>
        <v>Quebec</v>
      </c>
      <c r="F753" s="1" t="str">
        <f>"Sarra"</f>
        <v>Sarra</v>
      </c>
      <c r="G753" s="1" t="str">
        <f>"Bourihane"</f>
        <v>Bourihane</v>
      </c>
      <c r="H753" s="1" t="str">
        <f>"0207729"</f>
        <v>0207729</v>
      </c>
      <c r="I753" s="1" t="str">
        <f t="shared" si="109"/>
        <v>F</v>
      </c>
      <c r="J753" s="2">
        <v>2003</v>
      </c>
      <c r="K753" s="1" t="str">
        <f>"3k"</f>
        <v>3k</v>
      </c>
      <c r="L753" s="1" t="str">
        <f>"U18"</f>
        <v>U18</v>
      </c>
      <c r="M753" s="1" t="str">
        <f t="shared" si="110"/>
        <v>-52</v>
      </c>
      <c r="N753" s="1" t="str">
        <f>""</f>
        <v/>
      </c>
      <c r="O753" s="1">
        <v>1</v>
      </c>
      <c r="P753" s="1"/>
      <c r="Q753" t="s">
        <v>295</v>
      </c>
    </row>
    <row r="754" spans="1:17" x14ac:dyDescent="0.25">
      <c r="A754" t="str">
        <f>"2018-10-18 12:31:29"</f>
        <v>2018-10-18 12:31:29</v>
      </c>
      <c r="B754" s="1" t="str">
        <f>""</f>
        <v/>
      </c>
      <c r="C754" s="1" t="str">
        <f>"Lethbridge Kyodokan Judo Club"</f>
        <v>Lethbridge Kyodokan Judo Club</v>
      </c>
      <c r="D754" s="1" t="str">
        <f>"AB"</f>
        <v>AB</v>
      </c>
      <c r="E754" s="1" t="str">
        <f>"Alberta"</f>
        <v>Alberta</v>
      </c>
      <c r="F754" s="1" t="str">
        <f>"Rylie"</f>
        <v>Rylie</v>
      </c>
      <c r="G754" s="1" t="str">
        <f>"Caldwell"</f>
        <v>Caldwell</v>
      </c>
      <c r="H754" s="1" t="str">
        <f>"0199004"</f>
        <v>0199004</v>
      </c>
      <c r="I754" s="1" t="str">
        <f t="shared" si="109"/>
        <v>F</v>
      </c>
      <c r="J754" s="2">
        <v>2004</v>
      </c>
      <c r="K754" s="1" t="str">
        <f>"3k"</f>
        <v>3k</v>
      </c>
      <c r="L754" s="1" t="s">
        <v>121</v>
      </c>
      <c r="M754" s="1" t="str">
        <f t="shared" si="110"/>
        <v>-52</v>
      </c>
      <c r="N754" s="1" t="str">
        <f>""</f>
        <v/>
      </c>
      <c r="O754" s="1">
        <v>2</v>
      </c>
      <c r="P754" s="1"/>
      <c r="Q754" t="s">
        <v>295</v>
      </c>
    </row>
    <row r="755" spans="1:17" x14ac:dyDescent="0.25">
      <c r="A755" t="str">
        <f>"2018-10-20 12:09:39"</f>
        <v>2018-10-20 12:09:39</v>
      </c>
      <c r="B755" s="1" t="str">
        <f>""</f>
        <v/>
      </c>
      <c r="C755" s="1" t="str">
        <f>"Saskatoon Ymca Judo Club"</f>
        <v>Saskatoon Ymca Judo Club</v>
      </c>
      <c r="D755" s="1" t="str">
        <f>"SK"</f>
        <v>SK</v>
      </c>
      <c r="E755" s="1" t="str">
        <f>"Saskatchewan"</f>
        <v>Saskatchewan</v>
      </c>
      <c r="F755" s="1" t="str">
        <f>"Sasha"</f>
        <v>Sasha</v>
      </c>
      <c r="G755" s="1" t="str">
        <f>"Chilibeck"</f>
        <v>Chilibeck</v>
      </c>
      <c r="H755" s="1" t="str">
        <f>"0190576"</f>
        <v>0190576</v>
      </c>
      <c r="I755" s="1" t="str">
        <f t="shared" si="109"/>
        <v>F</v>
      </c>
      <c r="J755" s="2">
        <v>2002</v>
      </c>
      <c r="K755" s="1" t="str">
        <f>"2k"</f>
        <v>2k</v>
      </c>
      <c r="L755" s="1" t="str">
        <f>"U18"</f>
        <v>U18</v>
      </c>
      <c r="M755" s="1" t="str">
        <f t="shared" si="110"/>
        <v>-52</v>
      </c>
      <c r="N755" s="1" t="str">
        <f>""</f>
        <v/>
      </c>
      <c r="O755" s="1">
        <v>1</v>
      </c>
      <c r="P755" s="1"/>
      <c r="Q755" t="s">
        <v>295</v>
      </c>
    </row>
    <row r="756" spans="1:17" x14ac:dyDescent="0.25">
      <c r="A756" t="str">
        <f>"2018-10-19 16:52:57"</f>
        <v>2018-10-19 16:52:57</v>
      </c>
      <c r="B756" s="1" t="str">
        <f>""</f>
        <v/>
      </c>
      <c r="C756" s="1" t="str">
        <f>"Dojo De Beauport"</f>
        <v>Dojo De Beauport</v>
      </c>
      <c r="D756" s="1" t="str">
        <f>"QC"</f>
        <v>QC</v>
      </c>
      <c r="E756" s="1" t="str">
        <f>"Quebec"</f>
        <v>Quebec</v>
      </c>
      <c r="F756" s="1" t="str">
        <f>"Marie-Pier"</f>
        <v>Marie-Pier</v>
      </c>
      <c r="G756" s="1" t="str">
        <f>"Gingras"</f>
        <v>Gingras</v>
      </c>
      <c r="H756" s="1" t="str">
        <f>"0230466"</f>
        <v>0230466</v>
      </c>
      <c r="I756" s="1" t="str">
        <f t="shared" si="109"/>
        <v>F</v>
      </c>
      <c r="J756" s="2">
        <v>2003</v>
      </c>
      <c r="K756" s="1" t="str">
        <f>"2k"</f>
        <v>2k</v>
      </c>
      <c r="L756" s="1" t="str">
        <f>"U18"</f>
        <v>U18</v>
      </c>
      <c r="M756" s="1" t="str">
        <f t="shared" si="110"/>
        <v>-52</v>
      </c>
      <c r="N756" s="1" t="str">
        <f>""</f>
        <v/>
      </c>
      <c r="O756" s="1">
        <v>1</v>
      </c>
      <c r="P756" s="1"/>
      <c r="Q756" t="s">
        <v>295</v>
      </c>
    </row>
    <row r="757" spans="1:17" x14ac:dyDescent="0.25">
      <c r="A757" t="str">
        <f>"2018-10-18 12:31:29"</f>
        <v>2018-10-18 12:31:29</v>
      </c>
      <c r="B757" s="1" t="str">
        <f>""</f>
        <v/>
      </c>
      <c r="C757" s="1" t="str">
        <f>"Nanaimo Judo Club"</f>
        <v>Nanaimo Judo Club</v>
      </c>
      <c r="D757" s="1" t="str">
        <f>"BC"</f>
        <v>BC</v>
      </c>
      <c r="E757" s="1" t="str">
        <f>"British Columbia"</f>
        <v>British Columbia</v>
      </c>
      <c r="F757" s="1" t="str">
        <f>"Isabella"</f>
        <v>Isabella</v>
      </c>
      <c r="G757" s="1" t="str">
        <f>"Greene"</f>
        <v>Greene</v>
      </c>
      <c r="H757" s="1" t="str">
        <f>"0206223"</f>
        <v>0206223</v>
      </c>
      <c r="I757" s="1" t="str">
        <f t="shared" si="109"/>
        <v>F</v>
      </c>
      <c r="J757" s="2">
        <v>2003</v>
      </c>
      <c r="K757" s="1" t="str">
        <f>"2k"</f>
        <v>2k</v>
      </c>
      <c r="L757" s="1" t="s">
        <v>121</v>
      </c>
      <c r="M757" s="1" t="str">
        <f t="shared" si="110"/>
        <v>-52</v>
      </c>
      <c r="N757" s="1" t="str">
        <f>""</f>
        <v/>
      </c>
      <c r="O757" s="1">
        <v>2</v>
      </c>
      <c r="P757" s="1"/>
      <c r="Q757" t="s">
        <v>295</v>
      </c>
    </row>
    <row r="758" spans="1:17" x14ac:dyDescent="0.25">
      <c r="A758" t="str">
        <f>"2018-10-19 20:08:36"</f>
        <v>2018-10-19 20:08:36</v>
      </c>
      <c r="B758" s="1" t="str">
        <f>""</f>
        <v/>
      </c>
      <c r="C758" s="1" t="str">
        <f>"Judo Ju Shin Kan Laterrière"</f>
        <v>Judo Ju Shin Kan Laterrière</v>
      </c>
      <c r="D758" s="1" t="str">
        <f>"QC"</f>
        <v>QC</v>
      </c>
      <c r="E758" s="1" t="str">
        <f>"Quebec"</f>
        <v>Quebec</v>
      </c>
      <c r="F758" s="1" t="str">
        <f>"Amélie"</f>
        <v>Amélie</v>
      </c>
      <c r="G758" s="1" t="str">
        <f>"Grenier"</f>
        <v>Grenier</v>
      </c>
      <c r="H758" s="1" t="str">
        <f>"0171435"</f>
        <v>0171435</v>
      </c>
      <c r="I758" s="1" t="str">
        <f t="shared" si="109"/>
        <v>F</v>
      </c>
      <c r="J758" s="2">
        <v>2002</v>
      </c>
      <c r="K758" s="1" t="str">
        <f>"1k"</f>
        <v>1k</v>
      </c>
      <c r="L758" s="1" t="str">
        <f>"U18"</f>
        <v>U18</v>
      </c>
      <c r="M758" s="1" t="str">
        <f t="shared" si="110"/>
        <v>-52</v>
      </c>
      <c r="N758" s="1" t="str">
        <f>""</f>
        <v/>
      </c>
      <c r="O758" s="1">
        <v>1</v>
      </c>
      <c r="P758" s="1"/>
      <c r="Q758" t="s">
        <v>295</v>
      </c>
    </row>
    <row r="759" spans="1:17" x14ac:dyDescent="0.25">
      <c r="A759" t="str">
        <f>"2018-10-13 17:28:27"</f>
        <v>2018-10-13 17:28:27</v>
      </c>
      <c r="B759" s="1" t="str">
        <f>""</f>
        <v/>
      </c>
      <c r="C759" s="1" t="str">
        <f>"Hoku Sei Kan Judo Club"</f>
        <v>Hoku Sei Kan Judo Club</v>
      </c>
      <c r="D759" s="1" t="str">
        <f>"AB"</f>
        <v>AB</v>
      </c>
      <c r="E759" s="1" t="str">
        <f>"Alberta"</f>
        <v>Alberta</v>
      </c>
      <c r="F759" s="1" t="str">
        <f>"Michelle"</f>
        <v>Michelle</v>
      </c>
      <c r="G759" s="1" t="str">
        <f>"Grisales"</f>
        <v>Grisales</v>
      </c>
      <c r="H759" s="1" t="str">
        <f>"0186030"</f>
        <v>0186030</v>
      </c>
      <c r="I759" s="1" t="str">
        <f t="shared" si="109"/>
        <v>F</v>
      </c>
      <c r="J759" s="2">
        <v>2003</v>
      </c>
      <c r="K759" s="1" t="str">
        <f>"2k"</f>
        <v>2k</v>
      </c>
      <c r="L759" s="1" t="s">
        <v>121</v>
      </c>
      <c r="M759" s="1" t="str">
        <f t="shared" si="110"/>
        <v>-52</v>
      </c>
      <c r="N759" s="1" t="str">
        <f>""</f>
        <v/>
      </c>
      <c r="O759" s="1">
        <v>2</v>
      </c>
      <c r="P759" s="1"/>
      <c r="Q759" t="s">
        <v>295</v>
      </c>
    </row>
    <row r="760" spans="1:17" x14ac:dyDescent="0.25">
      <c r="A760" t="str">
        <f>"2018-10-18 12:25:45"</f>
        <v>2018-10-18 12:25:45</v>
      </c>
      <c r="B760" s="1" t="str">
        <f>""</f>
        <v/>
      </c>
      <c r="C760" s="1" t="str">
        <f>"Kodokwai Judo Club"</f>
        <v>Kodokwai Judo Club</v>
      </c>
      <c r="D760" s="1" t="str">
        <f>"AB"</f>
        <v>AB</v>
      </c>
      <c r="E760" s="1" t="str">
        <f>"Alberta"</f>
        <v>Alberta</v>
      </c>
      <c r="F760" s="1" t="str">
        <f>"Kondelia"</f>
        <v>Kondelia</v>
      </c>
      <c r="G760" s="1" t="str">
        <f>"Karas"</f>
        <v>Karas</v>
      </c>
      <c r="H760" s="1" t="str">
        <f>"0166516"</f>
        <v>0166516</v>
      </c>
      <c r="I760" s="1" t="str">
        <f t="shared" si="109"/>
        <v>F</v>
      </c>
      <c r="J760" s="2">
        <v>2003</v>
      </c>
      <c r="K760" s="1" t="str">
        <f>"2k"</f>
        <v>2k</v>
      </c>
      <c r="L760" s="1" t="str">
        <f>"U18"</f>
        <v>U18</v>
      </c>
      <c r="M760" s="1" t="str">
        <f t="shared" si="110"/>
        <v>-52</v>
      </c>
      <c r="N760" s="1" t="str">
        <f>""</f>
        <v/>
      </c>
      <c r="O760" s="1">
        <v>1</v>
      </c>
      <c r="P760" s="1"/>
      <c r="Q760" t="s">
        <v>295</v>
      </c>
    </row>
    <row r="761" spans="1:17" x14ac:dyDescent="0.25">
      <c r="A761" t="str">
        <f>"2018-10-20 21:57:55"</f>
        <v>2018-10-20 21:57:55</v>
      </c>
      <c r="B761" s="1" t="str">
        <f>""</f>
        <v/>
      </c>
      <c r="C761" s="1" t="str">
        <f>"Burnaby Judo Club"</f>
        <v>Burnaby Judo Club</v>
      </c>
      <c r="D761" s="1" t="str">
        <f>"BC"</f>
        <v>BC</v>
      </c>
      <c r="E761" s="1" t="str">
        <f>"British Columbia"</f>
        <v>British Columbia</v>
      </c>
      <c r="F761" s="1" t="str">
        <f>"Hailey"</f>
        <v>Hailey</v>
      </c>
      <c r="G761" s="1" t="str">
        <f>"Ko"</f>
        <v>Ko</v>
      </c>
      <c r="H761" s="1" t="str">
        <f>"0201224"</f>
        <v>0201224</v>
      </c>
      <c r="I761" s="1" t="str">
        <f t="shared" si="109"/>
        <v>F</v>
      </c>
      <c r="J761" s="2">
        <v>2004</v>
      </c>
      <c r="K761" s="1" t="str">
        <f>"2k"</f>
        <v>2k</v>
      </c>
      <c r="L761" s="1" t="s">
        <v>121</v>
      </c>
      <c r="M761" s="1" t="str">
        <f t="shared" si="110"/>
        <v>-52</v>
      </c>
      <c r="N761" s="1" t="str">
        <f>""</f>
        <v/>
      </c>
      <c r="O761" s="1">
        <v>2</v>
      </c>
      <c r="P761" s="1"/>
      <c r="Q761" t="s">
        <v>295</v>
      </c>
    </row>
    <row r="762" spans="1:17" x14ac:dyDescent="0.25">
      <c r="A762" t="str">
        <f>"2018-10-21 15:23:23"</f>
        <v>2018-10-21 15:23:23</v>
      </c>
      <c r="B762" s="1" t="str">
        <f>""</f>
        <v/>
      </c>
      <c r="C762" s="1" t="str">
        <f>"Judo Monde"</f>
        <v>Judo Monde</v>
      </c>
      <c r="D762" s="1" t="str">
        <f>"QC"</f>
        <v>QC</v>
      </c>
      <c r="E762" s="1" t="str">
        <f>"Quebec"</f>
        <v>Quebec</v>
      </c>
      <c r="F762" s="1" t="str">
        <f>"Violette"</f>
        <v>Violette</v>
      </c>
      <c r="G762" s="1" t="str">
        <f>"Louet"</f>
        <v>Louet</v>
      </c>
      <c r="H762" s="1" t="str">
        <f>"0156815"</f>
        <v>0156815</v>
      </c>
      <c r="I762" s="1" t="str">
        <f t="shared" si="109"/>
        <v>F</v>
      </c>
      <c r="J762" s="2">
        <v>2003</v>
      </c>
      <c r="K762" s="1" t="str">
        <f>"2k"</f>
        <v>2k</v>
      </c>
      <c r="L762" s="1" t="str">
        <f>"U18"</f>
        <v>U18</v>
      </c>
      <c r="M762" s="1" t="str">
        <f t="shared" si="110"/>
        <v>-52</v>
      </c>
      <c r="N762" s="1" t="str">
        <f>""</f>
        <v/>
      </c>
      <c r="O762" s="1">
        <v>1</v>
      </c>
      <c r="P762" s="1"/>
      <c r="Q762" t="s">
        <v>295</v>
      </c>
    </row>
    <row r="763" spans="1:17" x14ac:dyDescent="0.25">
      <c r="A763" t="str">
        <f>"2018-10-20 21:57:55"</f>
        <v>2018-10-20 21:57:55</v>
      </c>
      <c r="B763" s="1" t="str">
        <f>""</f>
        <v/>
      </c>
      <c r="C763" s="1" t="str">
        <f>"Judo Ju Shin Kan Laterrière"</f>
        <v>Judo Ju Shin Kan Laterrière</v>
      </c>
      <c r="D763" s="1" t="str">
        <f>"QC"</f>
        <v>QC</v>
      </c>
      <c r="E763" s="1" t="str">
        <f>"Quebec"</f>
        <v>Quebec</v>
      </c>
      <c r="F763" s="1" t="str">
        <f>"Sarah"</f>
        <v>Sarah</v>
      </c>
      <c r="G763" s="1" t="str">
        <f>"Morin"</f>
        <v>Morin</v>
      </c>
      <c r="H763" s="1" t="str">
        <f>"0184687"</f>
        <v>0184687</v>
      </c>
      <c r="I763" s="1" t="str">
        <f t="shared" si="109"/>
        <v>F</v>
      </c>
      <c r="J763" s="2">
        <v>2003</v>
      </c>
      <c r="K763" s="1" t="str">
        <f>"3k"</f>
        <v>3k</v>
      </c>
      <c r="L763" s="1" t="str">
        <f>"U18"</f>
        <v>U18</v>
      </c>
      <c r="M763" s="1" t="str">
        <f t="shared" si="110"/>
        <v>-52</v>
      </c>
      <c r="N763" s="1" t="str">
        <f>""</f>
        <v/>
      </c>
      <c r="O763" s="1">
        <v>1</v>
      </c>
      <c r="P763" s="1"/>
      <c r="Q763" t="s">
        <v>295</v>
      </c>
    </row>
    <row r="764" spans="1:17" x14ac:dyDescent="0.25">
      <c r="A764" t="str">
        <f>"2018-10-07 11:44:39"</f>
        <v>2018-10-07 11:44:39</v>
      </c>
      <c r="B764" s="1" t="str">
        <f>""</f>
        <v/>
      </c>
      <c r="C764" s="1" t="str">
        <f>"Sawtelle Judo Dojo"</f>
        <v>Sawtelle Judo Dojo</v>
      </c>
      <c r="D764" s="1" t="s">
        <v>106</v>
      </c>
      <c r="E764" s="1" t="str">
        <f>"California"</f>
        <v>California</v>
      </c>
      <c r="F764" s="1" t="str">
        <f>"Marisol"</f>
        <v>Marisol</v>
      </c>
      <c r="G764" s="1" t="str">
        <f>"Torro"</f>
        <v>Torro</v>
      </c>
      <c r="H764" s="1" t="str">
        <f>"AutreFederation"</f>
        <v>AutreFederation</v>
      </c>
      <c r="I764" s="1" t="str">
        <f t="shared" si="109"/>
        <v>F</v>
      </c>
      <c r="J764" s="2">
        <v>2002</v>
      </c>
      <c r="K764" s="1" t="str">
        <f>"1D"</f>
        <v>1D</v>
      </c>
      <c r="L764" s="1" t="s">
        <v>121</v>
      </c>
      <c r="M764" s="1" t="str">
        <f t="shared" si="110"/>
        <v>-52</v>
      </c>
      <c r="N764" s="1" t="str">
        <f>"-52kg"</f>
        <v>-52kg</v>
      </c>
      <c r="O764" s="1">
        <v>2</v>
      </c>
      <c r="P764" s="1"/>
      <c r="Q764" t="s">
        <v>295</v>
      </c>
    </row>
    <row r="765" spans="1:17" x14ac:dyDescent="0.25">
      <c r="A765" t="str">
        <f>"2018-10-20 18:00:51"</f>
        <v>2018-10-20 18:00:51</v>
      </c>
      <c r="B765" s="1" t="str">
        <f>""</f>
        <v/>
      </c>
      <c r="C765" s="1" t="s">
        <v>296</v>
      </c>
      <c r="D765" s="1" t="str">
        <f>"ON"</f>
        <v>ON</v>
      </c>
      <c r="E765" s="1" t="str">
        <f>"Ontario"</f>
        <v>Ontario</v>
      </c>
      <c r="F765" s="1" t="str">
        <f>"Anna"</f>
        <v>Anna</v>
      </c>
      <c r="G765" s="1" t="str">
        <f>"Zhitareva"</f>
        <v>Zhitareva</v>
      </c>
      <c r="H765" s="1" t="str">
        <f>"0195368"</f>
        <v>0195368</v>
      </c>
      <c r="I765" s="1" t="str">
        <f t="shared" si="109"/>
        <v>F</v>
      </c>
      <c r="J765" s="2">
        <v>2003</v>
      </c>
      <c r="K765" s="1" t="str">
        <f>"1k"</f>
        <v>1k</v>
      </c>
      <c r="L765" s="1" t="str">
        <f t="shared" ref="L765:L770" si="111">"U18"</f>
        <v>U18</v>
      </c>
      <c r="M765" s="1" t="str">
        <f t="shared" si="110"/>
        <v>-52</v>
      </c>
      <c r="N765" s="1" t="str">
        <f>""</f>
        <v/>
      </c>
      <c r="O765" s="1">
        <v>1</v>
      </c>
      <c r="P765" s="1"/>
      <c r="Q765" t="s">
        <v>295</v>
      </c>
    </row>
    <row r="766" spans="1:17" x14ac:dyDescent="0.25">
      <c r="A766" t="str">
        <f>"2018-10-21 18:03:33"</f>
        <v>2018-10-21 18:03:33</v>
      </c>
      <c r="B766" s="1" t="str">
        <f>""</f>
        <v/>
      </c>
      <c r="C766" s="1" t="str">
        <f>"Hiro's Judo Club"</f>
        <v>Hiro's Judo Club</v>
      </c>
      <c r="D766" s="1" t="str">
        <f>"AB"</f>
        <v>AB</v>
      </c>
      <c r="E766" s="1" t="str">
        <f>"Alberta"</f>
        <v>Alberta</v>
      </c>
      <c r="F766" s="1" t="str">
        <f>"Tymour"</f>
        <v>Tymour</v>
      </c>
      <c r="G766" s="1" t="str">
        <f>"Anan"</f>
        <v>Anan</v>
      </c>
      <c r="H766" s="1" t="str">
        <f>"0204343"</f>
        <v>0204343</v>
      </c>
      <c r="I766" s="1" t="str">
        <f t="shared" ref="I766:I787" si="112">"M"</f>
        <v>M</v>
      </c>
      <c r="J766" s="2">
        <v>2003</v>
      </c>
      <c r="K766" s="1" t="str">
        <f>"3k"</f>
        <v>3k</v>
      </c>
      <c r="L766" s="1" t="str">
        <f t="shared" si="111"/>
        <v>U18</v>
      </c>
      <c r="M766" s="1" t="str">
        <f t="shared" ref="M766:M787" si="113">"-55"</f>
        <v>-55</v>
      </c>
      <c r="N766" s="1" t="str">
        <f>""</f>
        <v/>
      </c>
      <c r="O766" s="1">
        <v>1</v>
      </c>
      <c r="P766" s="1"/>
      <c r="Q766" t="s">
        <v>297</v>
      </c>
    </row>
    <row r="767" spans="1:17" x14ac:dyDescent="0.25">
      <c r="A767" t="str">
        <f>"2018-10-21 15:54:19"</f>
        <v>2018-10-21 15:54:19</v>
      </c>
      <c r="B767" s="1" t="str">
        <f>""</f>
        <v/>
      </c>
      <c r="C767" s="1" t="str">
        <f>"Club de judo Seïkidokan inc."</f>
        <v>Club de judo Seïkidokan inc.</v>
      </c>
      <c r="D767" s="1" t="str">
        <f>"QC"</f>
        <v>QC</v>
      </c>
      <c r="E767" s="1" t="str">
        <f>"Quebec"</f>
        <v>Quebec</v>
      </c>
      <c r="F767" s="1" t="str">
        <f>"Jasmin"</f>
        <v>Jasmin</v>
      </c>
      <c r="G767" s="1" t="str">
        <f>"Bélanger"</f>
        <v>Bélanger</v>
      </c>
      <c r="H767" s="1" t="str">
        <f>"0181056"</f>
        <v>0181056</v>
      </c>
      <c r="I767" s="1" t="str">
        <f t="shared" si="112"/>
        <v>M</v>
      </c>
      <c r="J767" s="2">
        <v>2002</v>
      </c>
      <c r="K767" s="1" t="str">
        <f>"1k"</f>
        <v>1k</v>
      </c>
      <c r="L767" s="1" t="str">
        <f t="shared" si="111"/>
        <v>U18</v>
      </c>
      <c r="M767" s="1" t="str">
        <f t="shared" si="113"/>
        <v>-55</v>
      </c>
      <c r="N767" s="1" t="str">
        <f>""</f>
        <v/>
      </c>
      <c r="O767" s="1">
        <v>1</v>
      </c>
      <c r="P767" s="1"/>
      <c r="Q767" t="s">
        <v>297</v>
      </c>
    </row>
    <row r="768" spans="1:17" x14ac:dyDescent="0.25">
      <c r="A768" t="str">
        <f>"2018-10-05 15:52:01"</f>
        <v>2018-10-05 15:52:01</v>
      </c>
      <c r="B768" s="1" t="str">
        <f>""</f>
        <v/>
      </c>
      <c r="C768" s="1" t="str">
        <f>"Club de judo Vallée du Richelieu"</f>
        <v>Club de judo Vallée du Richelieu</v>
      </c>
      <c r="D768" s="1" t="str">
        <f>"QC"</f>
        <v>QC</v>
      </c>
      <c r="E768" s="1" t="str">
        <f>"Quebec"</f>
        <v>Quebec</v>
      </c>
      <c r="F768" s="1" t="str">
        <f>"Gaël"</f>
        <v>Gaël</v>
      </c>
      <c r="G768" s="1" t="str">
        <f>"Blouin-Gamache"</f>
        <v>Blouin-Gamache</v>
      </c>
      <c r="H768" s="1" t="str">
        <f>"0160753"</f>
        <v>0160753</v>
      </c>
      <c r="I768" s="1" t="str">
        <f t="shared" si="112"/>
        <v>M</v>
      </c>
      <c r="J768" s="2">
        <v>2003</v>
      </c>
      <c r="K768" s="1" t="str">
        <f>"1k"</f>
        <v>1k</v>
      </c>
      <c r="L768" s="1" t="str">
        <f t="shared" si="111"/>
        <v>U18</v>
      </c>
      <c r="M768" s="1" t="str">
        <f t="shared" si="113"/>
        <v>-55</v>
      </c>
      <c r="N768" s="1" t="str">
        <f>""</f>
        <v/>
      </c>
      <c r="O768" s="1">
        <v>1</v>
      </c>
      <c r="P768" s="1"/>
      <c r="Q768" t="s">
        <v>297</v>
      </c>
    </row>
    <row r="769" spans="1:17" x14ac:dyDescent="0.25">
      <c r="A769" t="str">
        <f>"2018-10-21 21:16:14"</f>
        <v>2018-10-21 21:16:14</v>
      </c>
      <c r="B769" s="1" t="str">
        <f>""</f>
        <v/>
      </c>
      <c r="C769" s="1" t="str">
        <f>"Club de Judo centre Multisports"</f>
        <v>Club de Judo centre Multisports</v>
      </c>
      <c r="D769" s="1" t="str">
        <f>"QC"</f>
        <v>QC</v>
      </c>
      <c r="E769" s="1" t="str">
        <f>"Quebec"</f>
        <v>Quebec</v>
      </c>
      <c r="F769" s="1" t="str">
        <f>"Frederic"</f>
        <v>Frederic</v>
      </c>
      <c r="G769" s="1" t="str">
        <f>"Bonney"</f>
        <v>Bonney</v>
      </c>
      <c r="H769" s="1" t="str">
        <f>"0206592"</f>
        <v>0206592</v>
      </c>
      <c r="I769" s="1" t="str">
        <f t="shared" si="112"/>
        <v>M</v>
      </c>
      <c r="J769" s="2">
        <v>2003</v>
      </c>
      <c r="K769" s="1" t="str">
        <f>"2k"</f>
        <v>2k</v>
      </c>
      <c r="L769" s="1" t="str">
        <f t="shared" si="111"/>
        <v>U18</v>
      </c>
      <c r="M769" s="1" t="str">
        <f t="shared" si="113"/>
        <v>-55</v>
      </c>
      <c r="N769" s="1" t="str">
        <f>""</f>
        <v/>
      </c>
      <c r="O769" s="1">
        <v>1</v>
      </c>
      <c r="P769" s="1"/>
      <c r="Q769" t="s">
        <v>297</v>
      </c>
    </row>
    <row r="770" spans="1:17" x14ac:dyDescent="0.25">
      <c r="A770" t="str">
        <f>"2018-10-17 22:16:07"</f>
        <v>2018-10-17 22:16:07</v>
      </c>
      <c r="B770" s="1" t="str">
        <f>"2018-10-25 22:48:29"</f>
        <v>2018-10-25 22:48:29</v>
      </c>
      <c r="C770" s="1" t="str">
        <f>"Toronto Judo Kai"</f>
        <v>Toronto Judo Kai</v>
      </c>
      <c r="D770" s="1" t="str">
        <f>"ON"</f>
        <v>ON</v>
      </c>
      <c r="E770" s="1" t="str">
        <f>"Ontario"</f>
        <v>Ontario</v>
      </c>
      <c r="F770" s="1" t="str">
        <f>"Rafael Enrico"</f>
        <v>Rafael Enrico</v>
      </c>
      <c r="G770" s="1" t="str">
        <f>"Castro"</f>
        <v>Castro</v>
      </c>
      <c r="H770" s="1" t="str">
        <f>"0223309"</f>
        <v>0223309</v>
      </c>
      <c r="I770" s="1" t="str">
        <f t="shared" si="112"/>
        <v>M</v>
      </c>
      <c r="J770" s="2">
        <v>2003</v>
      </c>
      <c r="K770" s="1" t="str">
        <f>"2k"</f>
        <v>2k</v>
      </c>
      <c r="L770" s="1" t="str">
        <f t="shared" si="111"/>
        <v>U18</v>
      </c>
      <c r="M770" s="1" t="str">
        <f t="shared" si="113"/>
        <v>-55</v>
      </c>
      <c r="N770" s="1" t="str">
        <f>""</f>
        <v/>
      </c>
      <c r="O770" s="1">
        <v>1</v>
      </c>
      <c r="P770" s="1"/>
      <c r="Q770" t="s">
        <v>297</v>
      </c>
    </row>
    <row r="771" spans="1:17" x14ac:dyDescent="0.25">
      <c r="A771" t="str">
        <f>"2018-10-21 18:25:17"</f>
        <v>2018-10-21 18:25:17</v>
      </c>
      <c r="B771" s="1" t="str">
        <f>""</f>
        <v/>
      </c>
      <c r="C771" s="1" t="str">
        <f>"Nakamura Judo Club"</f>
        <v>Nakamura Judo Club</v>
      </c>
      <c r="D771" s="1" t="str">
        <f>"MB"</f>
        <v>MB</v>
      </c>
      <c r="E771" s="1" t="str">
        <f>"Manitoba"</f>
        <v>Manitoba</v>
      </c>
      <c r="F771" s="1" t="str">
        <f>"Kadin"</f>
        <v>Kadin</v>
      </c>
      <c r="G771" s="1" t="str">
        <f>"Christ-Bonnell"</f>
        <v>Christ-Bonnell</v>
      </c>
      <c r="H771" s="1" t="str">
        <f>"0191645"</f>
        <v>0191645</v>
      </c>
      <c r="I771" s="1" t="str">
        <f t="shared" si="112"/>
        <v>M</v>
      </c>
      <c r="J771" s="2">
        <v>2002</v>
      </c>
      <c r="K771" s="1" t="str">
        <f>"1k"</f>
        <v>1k</v>
      </c>
      <c r="L771" s="1" t="s">
        <v>121</v>
      </c>
      <c r="M771" s="1" t="str">
        <f t="shared" si="113"/>
        <v>-55</v>
      </c>
      <c r="N771" s="1" t="str">
        <f>""</f>
        <v/>
      </c>
      <c r="O771" s="1">
        <v>2</v>
      </c>
      <c r="P771" s="1"/>
      <c r="Q771" t="s">
        <v>297</v>
      </c>
    </row>
    <row r="772" spans="1:17" x14ac:dyDescent="0.25">
      <c r="A772" t="str">
        <f>"2018-10-21 22:47:09"</f>
        <v>2018-10-21 22:47:09</v>
      </c>
      <c r="B772" s="1" t="str">
        <f>""</f>
        <v/>
      </c>
      <c r="C772" s="1" t="str">
        <f>"Judo Otoshi Dieppe"</f>
        <v>Judo Otoshi Dieppe</v>
      </c>
      <c r="D772" s="1" t="str">
        <f>"NB"</f>
        <v>NB</v>
      </c>
      <c r="E772" s="1" t="str">
        <f>"New Brunswick"</f>
        <v>New Brunswick</v>
      </c>
      <c r="F772" s="1" t="str">
        <f>"Tylor"</f>
        <v>Tylor</v>
      </c>
      <c r="G772" s="1" t="str">
        <f>"Collin"</f>
        <v>Collin</v>
      </c>
      <c r="H772" s="1" t="str">
        <f>"0176889"</f>
        <v>0176889</v>
      </c>
      <c r="I772" s="1" t="str">
        <f t="shared" si="112"/>
        <v>M</v>
      </c>
      <c r="J772" s="2">
        <v>2002</v>
      </c>
      <c r="K772" s="1" t="str">
        <f>"1k"</f>
        <v>1k</v>
      </c>
      <c r="L772" s="1" t="str">
        <f>"U18"</f>
        <v>U18</v>
      </c>
      <c r="M772" s="1" t="str">
        <f t="shared" si="113"/>
        <v>-55</v>
      </c>
      <c r="N772" s="1" t="str">
        <f>""</f>
        <v/>
      </c>
      <c r="O772" s="1">
        <v>1</v>
      </c>
      <c r="P772" s="1"/>
      <c r="Q772" t="s">
        <v>297</v>
      </c>
    </row>
    <row r="773" spans="1:17" x14ac:dyDescent="0.25">
      <c r="A773" t="str">
        <f>"2018-10-24 14:50:06"</f>
        <v>2018-10-24 14:50:06</v>
      </c>
      <c r="B773" s="1" t="str">
        <f>""</f>
        <v/>
      </c>
      <c r="C773" s="1" t="str">
        <f>"Club judokas Jonquière inc."</f>
        <v>Club judokas Jonquière inc.</v>
      </c>
      <c r="D773" s="1" t="str">
        <f>"QC"</f>
        <v>QC</v>
      </c>
      <c r="E773" s="1" t="str">
        <f>"Quebec"</f>
        <v>Quebec</v>
      </c>
      <c r="F773" s="1" t="str">
        <f>"Felix"</f>
        <v>Felix</v>
      </c>
      <c r="G773" s="1" t="str">
        <f>"Cote"</f>
        <v>Cote</v>
      </c>
      <c r="H773" s="1" t="str">
        <f>"0185760"</f>
        <v>0185760</v>
      </c>
      <c r="I773" s="1" t="str">
        <f t="shared" si="112"/>
        <v>M</v>
      </c>
      <c r="J773" s="2">
        <v>2002</v>
      </c>
      <c r="K773" s="1" t="str">
        <f>"1k"</f>
        <v>1k</v>
      </c>
      <c r="L773" s="1" t="str">
        <f>"U18"</f>
        <v>U18</v>
      </c>
      <c r="M773" s="1" t="str">
        <f t="shared" si="113"/>
        <v>-55</v>
      </c>
      <c r="N773" s="1" t="str">
        <f>""</f>
        <v/>
      </c>
      <c r="O773" s="1">
        <v>1</v>
      </c>
      <c r="P773" s="1"/>
      <c r="Q773" t="s">
        <v>297</v>
      </c>
    </row>
    <row r="774" spans="1:17" x14ac:dyDescent="0.25">
      <c r="A774" t="str">
        <f>"2018-10-24 14:42:15"</f>
        <v>2018-10-24 14:42:15</v>
      </c>
      <c r="B774" s="1" t="str">
        <f>""</f>
        <v/>
      </c>
      <c r="C774" s="1" t="str">
        <f>"Club de judo Shidokan inc."</f>
        <v>Club de judo Shidokan inc.</v>
      </c>
      <c r="D774" s="1" t="str">
        <f>"QC"</f>
        <v>QC</v>
      </c>
      <c r="E774" s="1" t="str">
        <f>"Quebec"</f>
        <v>Quebec</v>
      </c>
      <c r="F774" s="1" t="str">
        <f>"Frédéric"</f>
        <v>Frédéric</v>
      </c>
      <c r="G774" s="1" t="str">
        <f>"De Cardaillac"</f>
        <v>De Cardaillac</v>
      </c>
      <c r="H774" s="1" t="str">
        <f>"0166029"</f>
        <v>0166029</v>
      </c>
      <c r="I774" s="1" t="str">
        <f t="shared" si="112"/>
        <v>M</v>
      </c>
      <c r="J774" s="2">
        <v>2003</v>
      </c>
      <c r="K774" s="1" t="str">
        <f>"1k"</f>
        <v>1k</v>
      </c>
      <c r="L774" s="1" t="str">
        <f>"U18"</f>
        <v>U18</v>
      </c>
      <c r="M774" s="1" t="str">
        <f t="shared" si="113"/>
        <v>-55</v>
      </c>
      <c r="N774" s="1" t="str">
        <f>""</f>
        <v/>
      </c>
      <c r="O774" s="1">
        <v>1</v>
      </c>
      <c r="P774" s="1"/>
      <c r="Q774" t="s">
        <v>297</v>
      </c>
    </row>
    <row r="775" spans="1:17" x14ac:dyDescent="0.25">
      <c r="A775" t="str">
        <f>"2018-10-25 17:41:07"</f>
        <v>2018-10-25 17:41:07</v>
      </c>
      <c r="B775" s="1" t="str">
        <f>""</f>
        <v/>
      </c>
      <c r="C775" s="1" t="str">
        <f>"AJAX Budokan"</f>
        <v>AJAX Budokan</v>
      </c>
      <c r="D775" s="1" t="str">
        <f>"ON"</f>
        <v>ON</v>
      </c>
      <c r="E775" s="1" t="str">
        <f>"Ontario"</f>
        <v>Ontario</v>
      </c>
      <c r="F775" s="1" t="str">
        <f>"Matteo"</f>
        <v>Matteo</v>
      </c>
      <c r="G775" s="1" t="str">
        <f>"Fantozzi"</f>
        <v>Fantozzi</v>
      </c>
      <c r="H775" s="1" t="str">
        <f>"0205649"</f>
        <v>0205649</v>
      </c>
      <c r="I775" s="1" t="str">
        <f t="shared" si="112"/>
        <v>M</v>
      </c>
      <c r="J775" s="2">
        <v>2002</v>
      </c>
      <c r="K775" s="1" t="str">
        <f>"1k"</f>
        <v>1k</v>
      </c>
      <c r="L775" s="1" t="s">
        <v>121</v>
      </c>
      <c r="M775" s="1" t="str">
        <f t="shared" si="113"/>
        <v>-55</v>
      </c>
      <c r="N775" s="1" t="str">
        <f>""</f>
        <v/>
      </c>
      <c r="O775" s="1">
        <v>2</v>
      </c>
      <c r="P775" s="1"/>
      <c r="Q775" t="s">
        <v>297</v>
      </c>
    </row>
    <row r="776" spans="1:17" x14ac:dyDescent="0.25">
      <c r="A776" t="str">
        <f>"2018-10-21 15:33:28"</f>
        <v>2018-10-21 15:33:28</v>
      </c>
      <c r="B776" s="1" t="str">
        <f>""</f>
        <v/>
      </c>
      <c r="C776" s="1" t="str">
        <f>"Club de Judo Jikan"</f>
        <v>Club de Judo Jikan</v>
      </c>
      <c r="D776" s="1" t="str">
        <f>"QC"</f>
        <v>QC</v>
      </c>
      <c r="E776" s="1" t="str">
        <f>"Quebec"</f>
        <v>Quebec</v>
      </c>
      <c r="F776" s="1" t="str">
        <f>"Mikaelo"</f>
        <v>Mikaelo</v>
      </c>
      <c r="G776" s="1" t="str">
        <f>"Fonseca"</f>
        <v>Fonseca</v>
      </c>
      <c r="H776" s="1" t="str">
        <f>"0202693"</f>
        <v>0202693</v>
      </c>
      <c r="I776" s="1" t="str">
        <f t="shared" si="112"/>
        <v>M</v>
      </c>
      <c r="J776" s="2">
        <v>2002</v>
      </c>
      <c r="K776" s="1" t="str">
        <f>"2k"</f>
        <v>2k</v>
      </c>
      <c r="L776" s="1" t="str">
        <f>"U18"</f>
        <v>U18</v>
      </c>
      <c r="M776" s="1" t="str">
        <f t="shared" si="113"/>
        <v>-55</v>
      </c>
      <c r="N776" s="1" t="str">
        <f>""</f>
        <v/>
      </c>
      <c r="O776" s="1">
        <v>1</v>
      </c>
      <c r="P776" s="1"/>
      <c r="Q776" t="s">
        <v>297</v>
      </c>
    </row>
    <row r="777" spans="1:17" x14ac:dyDescent="0.25">
      <c r="A777" t="str">
        <f>"2018-10-24 14:42:15"</f>
        <v>2018-10-24 14:42:15</v>
      </c>
      <c r="B777" s="1" t="str">
        <f>""</f>
        <v/>
      </c>
      <c r="C777" s="1" t="str">
        <f>"Club de judo de la vieille capitale"</f>
        <v>Club de judo de la vieille capitale</v>
      </c>
      <c r="D777" s="1" t="str">
        <f>"QC"</f>
        <v>QC</v>
      </c>
      <c r="E777" s="1" t="str">
        <f>"Quebec"</f>
        <v>Quebec</v>
      </c>
      <c r="F777" s="1" t="str">
        <f>"Julien"</f>
        <v>Julien</v>
      </c>
      <c r="G777" s="1" t="str">
        <f>"Fraser"</f>
        <v>Fraser</v>
      </c>
      <c r="H777" s="1" t="str">
        <f>"0165553"</f>
        <v>0165553</v>
      </c>
      <c r="I777" s="1" t="str">
        <f t="shared" si="112"/>
        <v>M</v>
      </c>
      <c r="J777" s="2">
        <v>2003</v>
      </c>
      <c r="K777" s="1" t="str">
        <f>"1k"</f>
        <v>1k</v>
      </c>
      <c r="L777" s="1" t="str">
        <f>"U18"</f>
        <v>U18</v>
      </c>
      <c r="M777" s="1" t="str">
        <f t="shared" si="113"/>
        <v>-55</v>
      </c>
      <c r="N777" s="1" t="str">
        <f>""</f>
        <v/>
      </c>
      <c r="O777" s="1">
        <v>1</v>
      </c>
      <c r="P777" s="1"/>
      <c r="Q777" t="s">
        <v>297</v>
      </c>
    </row>
    <row r="778" spans="1:17" x14ac:dyDescent="0.25">
      <c r="A778" t="str">
        <f>"2018-10-21 21:24:22"</f>
        <v>2018-10-21 21:24:22</v>
      </c>
      <c r="B778" s="1" t="str">
        <f>""</f>
        <v/>
      </c>
      <c r="C778" s="1" t="str">
        <f>"Dojo Zenshin"</f>
        <v>Dojo Zenshin</v>
      </c>
      <c r="D778" s="1" t="str">
        <f>"QC"</f>
        <v>QC</v>
      </c>
      <c r="E778" s="1" t="str">
        <f>"Quebec"</f>
        <v>Quebec</v>
      </c>
      <c r="F778" s="1" t="str">
        <f>"Thomas"</f>
        <v>Thomas</v>
      </c>
      <c r="G778" s="1" t="str">
        <f>"Ganet"</f>
        <v>Ganet</v>
      </c>
      <c r="H778" s="1" t="str">
        <f>"0229649"</f>
        <v>0229649</v>
      </c>
      <c r="I778" s="1" t="str">
        <f t="shared" si="112"/>
        <v>M</v>
      </c>
      <c r="J778" s="2">
        <v>2003</v>
      </c>
      <c r="K778" s="1" t="str">
        <f>"1k"</f>
        <v>1k</v>
      </c>
      <c r="L778" s="1" t="str">
        <f>"U18"</f>
        <v>U18</v>
      </c>
      <c r="M778" s="1" t="str">
        <f t="shared" si="113"/>
        <v>-55</v>
      </c>
      <c r="N778" s="1" t="str">
        <f>""</f>
        <v/>
      </c>
      <c r="O778" s="1">
        <v>1</v>
      </c>
      <c r="P778" s="1"/>
      <c r="Q778" t="s">
        <v>297</v>
      </c>
    </row>
    <row r="779" spans="1:17" x14ac:dyDescent="0.25">
      <c r="A779" t="str">
        <f>"2018-10-21 20:07:54"</f>
        <v>2018-10-21 20:07:54</v>
      </c>
      <c r="B779" s="1" t="str">
        <f>""</f>
        <v/>
      </c>
      <c r="C779" s="1" t="str">
        <f>"Nanaimo Judo Club"</f>
        <v>Nanaimo Judo Club</v>
      </c>
      <c r="D779" s="1" t="str">
        <f>"BC"</f>
        <v>BC</v>
      </c>
      <c r="E779" s="1" t="str">
        <f>"British Columbia"</f>
        <v>British Columbia</v>
      </c>
      <c r="F779" s="1" t="str">
        <f>"Korin"</f>
        <v>Korin</v>
      </c>
      <c r="G779" s="1" t="str">
        <f>"Gardner"</f>
        <v>Gardner</v>
      </c>
      <c r="H779" s="1" t="str">
        <f>"0195674"</f>
        <v>0195674</v>
      </c>
      <c r="I779" s="1" t="str">
        <f t="shared" si="112"/>
        <v>M</v>
      </c>
      <c r="J779" s="2">
        <v>2003</v>
      </c>
      <c r="K779" s="1" t="str">
        <f>"1D"</f>
        <v>1D</v>
      </c>
      <c r="L779" s="1" t="s">
        <v>121</v>
      </c>
      <c r="M779" s="1" t="str">
        <f t="shared" si="113"/>
        <v>-55</v>
      </c>
      <c r="N779" s="1" t="str">
        <f>""</f>
        <v/>
      </c>
      <c r="O779" s="1">
        <v>2</v>
      </c>
      <c r="P779" s="1"/>
      <c r="Q779" t="s">
        <v>297</v>
      </c>
    </row>
    <row r="780" spans="1:17" x14ac:dyDescent="0.25">
      <c r="A780" t="str">
        <f>"2018-10-05 15:52:01"</f>
        <v>2018-10-05 15:52:01</v>
      </c>
      <c r="B780" s="1" t="str">
        <f>""</f>
        <v/>
      </c>
      <c r="C780" s="1" t="str">
        <f>"Club de judo Shidokan inc."</f>
        <v>Club de judo Shidokan inc.</v>
      </c>
      <c r="D780" s="1" t="str">
        <f>"QC"</f>
        <v>QC</v>
      </c>
      <c r="E780" s="1" t="str">
        <f>"Quebec"</f>
        <v>Quebec</v>
      </c>
      <c r="F780" s="1" t="str">
        <f>"Marcelin"</f>
        <v>Marcelin</v>
      </c>
      <c r="G780" s="1" t="str">
        <f>"Gosset"</f>
        <v>Gosset</v>
      </c>
      <c r="H780" s="1" t="str">
        <f>"0214622"</f>
        <v>0214622</v>
      </c>
      <c r="I780" s="1" t="str">
        <f t="shared" si="112"/>
        <v>M</v>
      </c>
      <c r="J780" s="2">
        <v>2003</v>
      </c>
      <c r="K780" s="1" t="str">
        <f>"1k"</f>
        <v>1k</v>
      </c>
      <c r="L780" s="1" t="str">
        <f>"U18"</f>
        <v>U18</v>
      </c>
      <c r="M780" s="1" t="str">
        <f t="shared" si="113"/>
        <v>-55</v>
      </c>
      <c r="N780" s="1" t="str">
        <f>""</f>
        <v/>
      </c>
      <c r="O780" s="1">
        <v>1</v>
      </c>
      <c r="P780" s="1"/>
      <c r="Q780" t="s">
        <v>297</v>
      </c>
    </row>
    <row r="781" spans="1:17" x14ac:dyDescent="0.25">
      <c r="A781" t="str">
        <f>"2018-10-21 21:24:22"</f>
        <v>2018-10-21 21:24:22</v>
      </c>
      <c r="B781" s="1" t="str">
        <f>""</f>
        <v/>
      </c>
      <c r="C781" s="1" t="str">
        <f>"Club de Judo Boucherville inc."</f>
        <v>Club de Judo Boucherville inc.</v>
      </c>
      <c r="D781" s="1" t="str">
        <f>"QC"</f>
        <v>QC</v>
      </c>
      <c r="E781" s="1" t="str">
        <f>"Quebec"</f>
        <v>Quebec</v>
      </c>
      <c r="F781" s="1" t="str">
        <f>"Mathis"</f>
        <v>Mathis</v>
      </c>
      <c r="G781" s="1" t="str">
        <f>"Guertin"</f>
        <v>Guertin</v>
      </c>
      <c r="H781" s="1" t="str">
        <f>"0156153"</f>
        <v>0156153</v>
      </c>
      <c r="I781" s="1" t="str">
        <f t="shared" si="112"/>
        <v>M</v>
      </c>
      <c r="J781" s="2">
        <v>2002</v>
      </c>
      <c r="K781" s="1" t="str">
        <f>"1D"</f>
        <v>1D</v>
      </c>
      <c r="L781" s="1" t="s">
        <v>121</v>
      </c>
      <c r="M781" s="1" t="str">
        <f t="shared" si="113"/>
        <v>-55</v>
      </c>
      <c r="N781" s="1" t="str">
        <f>"-55kg"</f>
        <v>-55kg</v>
      </c>
      <c r="O781" s="1">
        <v>2</v>
      </c>
      <c r="P781" s="1"/>
      <c r="Q781" t="s">
        <v>297</v>
      </c>
    </row>
    <row r="782" spans="1:17" x14ac:dyDescent="0.25">
      <c r="A782" t="str">
        <f>"2018-10-21 13:53:54"</f>
        <v>2018-10-21 13:53:54</v>
      </c>
      <c r="B782" s="1" t="str">
        <f>""</f>
        <v/>
      </c>
      <c r="C782" s="1" t="str">
        <f>"Hiro's Judo Club"</f>
        <v>Hiro's Judo Club</v>
      </c>
      <c r="D782" s="1" t="str">
        <f>"AB"</f>
        <v>AB</v>
      </c>
      <c r="E782" s="1" t="str">
        <f>"Alberta"</f>
        <v>Alberta</v>
      </c>
      <c r="F782" s="1" t="str">
        <f>"Jarrett"</f>
        <v>Jarrett</v>
      </c>
      <c r="G782" s="1" t="str">
        <f>"Hanearin-Balczer"</f>
        <v>Hanearin-Balczer</v>
      </c>
      <c r="H782" s="1" t="str">
        <f>"0162164"</f>
        <v>0162164</v>
      </c>
      <c r="I782" s="1" t="str">
        <f t="shared" si="112"/>
        <v>M</v>
      </c>
      <c r="J782" s="2">
        <v>2002</v>
      </c>
      <c r="K782" s="1" t="str">
        <f>"1k"</f>
        <v>1k</v>
      </c>
      <c r="L782" s="1" t="str">
        <f>"U18"</f>
        <v>U18</v>
      </c>
      <c r="M782" s="1" t="str">
        <f t="shared" si="113"/>
        <v>-55</v>
      </c>
      <c r="N782" s="1" t="str">
        <f>""</f>
        <v/>
      </c>
      <c r="O782" s="1">
        <v>1</v>
      </c>
      <c r="P782" s="1"/>
      <c r="Q782" t="s">
        <v>297</v>
      </c>
    </row>
    <row r="783" spans="1:17" x14ac:dyDescent="0.25">
      <c r="A783" t="str">
        <f>"2018-10-25 11:17:24"</f>
        <v>2018-10-25 11:17:24</v>
      </c>
      <c r="B783" s="1" t="str">
        <f>""</f>
        <v/>
      </c>
      <c r="C783" s="1" t="str">
        <f>"Hiro's Judo Club"</f>
        <v>Hiro's Judo Club</v>
      </c>
      <c r="D783" s="1" t="str">
        <f>"AB"</f>
        <v>AB</v>
      </c>
      <c r="E783" s="1" t="str">
        <f>"Alberta"</f>
        <v>Alberta</v>
      </c>
      <c r="F783" s="1" t="str">
        <f>"Katsuo"</f>
        <v>Katsuo</v>
      </c>
      <c r="G783" s="1" t="str">
        <f>"Leung"</f>
        <v>Leung</v>
      </c>
      <c r="H783" s="1" t="str">
        <f>"0162150"</f>
        <v>0162150</v>
      </c>
      <c r="I783" s="1" t="str">
        <f t="shared" si="112"/>
        <v>M</v>
      </c>
      <c r="J783" s="2">
        <v>2003</v>
      </c>
      <c r="K783" s="1" t="str">
        <f>"1k"</f>
        <v>1k</v>
      </c>
      <c r="L783" s="1" t="s">
        <v>121</v>
      </c>
      <c r="M783" s="1" t="str">
        <f t="shared" si="113"/>
        <v>-55</v>
      </c>
      <c r="N783" s="1" t="str">
        <f>""</f>
        <v/>
      </c>
      <c r="O783" s="1">
        <v>2</v>
      </c>
      <c r="P783" s="1"/>
      <c r="Q783" t="s">
        <v>297</v>
      </c>
    </row>
    <row r="784" spans="1:17" x14ac:dyDescent="0.25">
      <c r="A784" t="str">
        <f>"2018-10-21 22:08:50"</f>
        <v>2018-10-21 22:08:50</v>
      </c>
      <c r="B784" s="1" t="str">
        <f>""</f>
        <v/>
      </c>
      <c r="C784" s="1" t="str">
        <f>"Pense Judo Club"</f>
        <v>Pense Judo Club</v>
      </c>
      <c r="D784" s="1" t="str">
        <f>"SK"</f>
        <v>SK</v>
      </c>
      <c r="E784" s="1" t="str">
        <f>"Saskatchewan"</f>
        <v>Saskatchewan</v>
      </c>
      <c r="F784" s="1" t="str">
        <f>"Justin"</f>
        <v>Justin</v>
      </c>
      <c r="G784" s="1" t="str">
        <f>"McKay"</f>
        <v>McKay</v>
      </c>
      <c r="H784" s="1" t="str">
        <f>"0187197"</f>
        <v>0187197</v>
      </c>
      <c r="I784" s="1" t="str">
        <f t="shared" si="112"/>
        <v>M</v>
      </c>
      <c r="J784" s="2">
        <v>2002</v>
      </c>
      <c r="K784" s="1" t="str">
        <f>"1k"</f>
        <v>1k</v>
      </c>
      <c r="L784" s="1" t="str">
        <f>"U18"</f>
        <v>U18</v>
      </c>
      <c r="M784" s="1" t="str">
        <f t="shared" si="113"/>
        <v>-55</v>
      </c>
      <c r="N784" s="1" t="str">
        <f>""</f>
        <v/>
      </c>
      <c r="O784" s="1">
        <v>1</v>
      </c>
      <c r="P784" s="1"/>
      <c r="Q784" t="s">
        <v>297</v>
      </c>
    </row>
    <row r="785" spans="1:17" x14ac:dyDescent="0.25">
      <c r="A785" t="str">
        <f>"2018-10-11 20:52:49"</f>
        <v>2018-10-11 20:52:49</v>
      </c>
      <c r="B785" s="1" t="str">
        <f>""</f>
        <v/>
      </c>
      <c r="C785" s="1" t="str">
        <f>"Club de judo Albatros Inc."</f>
        <v>Club de judo Albatros Inc.</v>
      </c>
      <c r="D785" s="1" t="str">
        <f>"QC"</f>
        <v>QC</v>
      </c>
      <c r="E785" s="1" t="str">
        <f>"Quebec"</f>
        <v>Quebec</v>
      </c>
      <c r="F785" s="1" t="str">
        <f>"Simon"</f>
        <v>Simon</v>
      </c>
      <c r="G785" s="1" t="str">
        <f>"Paquet"</f>
        <v>Paquet</v>
      </c>
      <c r="H785" s="1" t="str">
        <f>"0163993"</f>
        <v>0163993</v>
      </c>
      <c r="I785" s="1" t="str">
        <f t="shared" si="112"/>
        <v>M</v>
      </c>
      <c r="J785" s="2">
        <v>2002</v>
      </c>
      <c r="K785" s="1" t="str">
        <f>"1k"</f>
        <v>1k</v>
      </c>
      <c r="L785" s="1" t="str">
        <f>"U18"</f>
        <v>U18</v>
      </c>
      <c r="M785" s="1" t="str">
        <f t="shared" si="113"/>
        <v>-55</v>
      </c>
      <c r="N785" s="1" t="str">
        <f>""</f>
        <v/>
      </c>
      <c r="O785" s="1">
        <v>1</v>
      </c>
      <c r="P785" s="1"/>
      <c r="Q785" t="s">
        <v>297</v>
      </c>
    </row>
    <row r="786" spans="1:17" x14ac:dyDescent="0.25">
      <c r="A786" t="str">
        <f>"2018-10-19 22:09:43"</f>
        <v>2018-10-19 22:09:43</v>
      </c>
      <c r="B786" s="1" t="str">
        <f>""</f>
        <v/>
      </c>
      <c r="C786" s="1" t="str">
        <f>"Tech Judo"</f>
        <v>Tech Judo</v>
      </c>
      <c r="D786" s="1" t="s">
        <v>106</v>
      </c>
      <c r="E786" s="1" t="str">
        <f>"New Jersey"</f>
        <v>New Jersey</v>
      </c>
      <c r="F786" s="1" t="str">
        <f>"Natan"</f>
        <v>Natan</v>
      </c>
      <c r="G786" s="1" t="str">
        <f>"Tsyrlin"</f>
        <v>Tsyrlin</v>
      </c>
      <c r="H786" s="1" t="str">
        <f>"AutreFederation"</f>
        <v>AutreFederation</v>
      </c>
      <c r="I786" s="1" t="str">
        <f t="shared" si="112"/>
        <v>M</v>
      </c>
      <c r="J786" s="2">
        <v>2004</v>
      </c>
      <c r="K786" s="1" t="str">
        <f>"1k"</f>
        <v>1k</v>
      </c>
      <c r="L786" s="1" t="s">
        <v>121</v>
      </c>
      <c r="M786" s="1" t="str">
        <f t="shared" si="113"/>
        <v>-55</v>
      </c>
      <c r="N786" s="1" t="str">
        <f>""</f>
        <v/>
      </c>
      <c r="O786" s="1">
        <v>2</v>
      </c>
      <c r="P786" s="1"/>
      <c r="Q786" t="s">
        <v>297</v>
      </c>
    </row>
    <row r="787" spans="1:17" x14ac:dyDescent="0.25">
      <c r="A787" t="str">
        <f>"2018-10-17 16:42:59"</f>
        <v>2018-10-17 16:42:59</v>
      </c>
      <c r="B787" s="1" t="str">
        <f>""</f>
        <v/>
      </c>
      <c r="C787" s="1" t="str">
        <f>"Taifu Judo Club"</f>
        <v>Taifu Judo Club</v>
      </c>
      <c r="D787" s="1" t="str">
        <f>"ON"</f>
        <v>ON</v>
      </c>
      <c r="E787" s="1" t="str">
        <f>"Ontario"</f>
        <v>Ontario</v>
      </c>
      <c r="F787" s="1" t="str">
        <f>"Johnathan"</f>
        <v>Johnathan</v>
      </c>
      <c r="G787" s="1" t="str">
        <f>"Xinkas"</f>
        <v>Xinkas</v>
      </c>
      <c r="H787" s="1" t="str">
        <f>"0192352"</f>
        <v>0192352</v>
      </c>
      <c r="I787" s="1" t="str">
        <f t="shared" si="112"/>
        <v>M</v>
      </c>
      <c r="J787" s="2">
        <v>2004</v>
      </c>
      <c r="K787" s="1" t="str">
        <f>"2k"</f>
        <v>2k</v>
      </c>
      <c r="L787" s="1" t="s">
        <v>121</v>
      </c>
      <c r="M787" s="1" t="str">
        <f t="shared" si="113"/>
        <v>-55</v>
      </c>
      <c r="N787" s="1" t="str">
        <f>""</f>
        <v/>
      </c>
      <c r="O787" s="1">
        <v>2</v>
      </c>
      <c r="P787" s="1"/>
      <c r="Q787" t="s">
        <v>297</v>
      </c>
    </row>
    <row r="788" spans="1:17" x14ac:dyDescent="0.25">
      <c r="A788" t="str">
        <f>"2018-09-29 13:38:25"</f>
        <v>2018-09-29 13:38:25</v>
      </c>
      <c r="B788" s="1" t="str">
        <f>""</f>
        <v/>
      </c>
      <c r="C788" s="1" t="str">
        <f>"Toronto Judo Kai"</f>
        <v>Toronto Judo Kai</v>
      </c>
      <c r="D788" s="1" t="str">
        <f>"ON"</f>
        <v>ON</v>
      </c>
      <c r="E788" s="1" t="str">
        <f>"Ontario"</f>
        <v>Ontario</v>
      </c>
      <c r="F788" s="1" t="str">
        <f>"Nouran"</f>
        <v>Nouran</v>
      </c>
      <c r="G788" s="1" t="str">
        <f>"Abd Elrehim"</f>
        <v>Abd Elrehim</v>
      </c>
      <c r="H788" s="1" t="str">
        <f>"0170251"</f>
        <v>0170251</v>
      </c>
      <c r="I788" s="1" t="str">
        <f t="shared" ref="I788:I807" si="114">"F"</f>
        <v>F</v>
      </c>
      <c r="J788" s="2">
        <v>2003</v>
      </c>
      <c r="K788" s="1" t="str">
        <f>"1k"</f>
        <v>1k</v>
      </c>
      <c r="L788" s="1" t="str">
        <f>"U18"</f>
        <v>U18</v>
      </c>
      <c r="M788" s="1" t="str">
        <f t="shared" ref="M788:M807" si="115">"-57"</f>
        <v>-57</v>
      </c>
      <c r="N788" s="1" t="str">
        <f>""</f>
        <v/>
      </c>
      <c r="O788" s="1">
        <v>1</v>
      </c>
      <c r="P788" s="1"/>
      <c r="Q788" t="s">
        <v>298</v>
      </c>
    </row>
    <row r="789" spans="1:17" x14ac:dyDescent="0.25">
      <c r="A789" t="str">
        <f>"2018-10-21 13:50:17"</f>
        <v>2018-10-21 13:50:17</v>
      </c>
      <c r="B789" s="1" t="str">
        <f>""</f>
        <v/>
      </c>
      <c r="C789" s="1" t="str">
        <f>"Skelley Judo"</f>
        <v>Skelley Judo</v>
      </c>
      <c r="D789" s="1" t="s">
        <v>106</v>
      </c>
      <c r="E789" s="1" t="str">
        <f>"New York/ USA"</f>
        <v>New York/ USA</v>
      </c>
      <c r="F789" s="1" t="str">
        <f>"Raelyn"</f>
        <v>Raelyn</v>
      </c>
      <c r="G789" s="1" t="str">
        <f>"Adorno"</f>
        <v>Adorno</v>
      </c>
      <c r="H789" s="1" t="str">
        <f>"AutreFederation"</f>
        <v>AutreFederation</v>
      </c>
      <c r="I789" s="1" t="str">
        <f t="shared" si="114"/>
        <v>F</v>
      </c>
      <c r="J789" s="2">
        <v>2004</v>
      </c>
      <c r="K789" s="1" t="str">
        <f>"2k"</f>
        <v>2k</v>
      </c>
      <c r="L789" s="1" t="s">
        <v>121</v>
      </c>
      <c r="M789" s="1" t="str">
        <f t="shared" si="115"/>
        <v>-57</v>
      </c>
      <c r="N789" s="1" t="str">
        <f>"57"</f>
        <v>57</v>
      </c>
      <c r="O789" s="1">
        <v>2</v>
      </c>
      <c r="P789" s="1"/>
      <c r="Q789" t="s">
        <v>298</v>
      </c>
    </row>
    <row r="790" spans="1:17" x14ac:dyDescent="0.25">
      <c r="A790" t="str">
        <f>"2018-10-22 21:53:13"</f>
        <v>2018-10-22 21:53:13</v>
      </c>
      <c r="B790" s="1" t="str">
        <f>""</f>
        <v/>
      </c>
      <c r="C790" s="1" t="str">
        <f>"Budokan Saint-Laurent"</f>
        <v>Budokan Saint-Laurent</v>
      </c>
      <c r="D790" s="1" t="str">
        <f>"QC"</f>
        <v>QC</v>
      </c>
      <c r="E790" s="1" t="str">
        <f>"Quebec"</f>
        <v>Quebec</v>
      </c>
      <c r="F790" s="1" t="str">
        <f>"Rania"</f>
        <v>Rania</v>
      </c>
      <c r="G790" s="1" t="str">
        <f>"Alaoui Yazidi"</f>
        <v>Alaoui Yazidi</v>
      </c>
      <c r="H790" s="1" t="str">
        <f>"0188083"</f>
        <v>0188083</v>
      </c>
      <c r="I790" s="1" t="str">
        <f t="shared" si="114"/>
        <v>F</v>
      </c>
      <c r="J790" s="2">
        <v>2003</v>
      </c>
      <c r="K790" s="1" t="str">
        <f>"1k"</f>
        <v>1k</v>
      </c>
      <c r="L790" s="1" t="str">
        <f>"U18"</f>
        <v>U18</v>
      </c>
      <c r="M790" s="1" t="str">
        <f t="shared" si="115"/>
        <v>-57</v>
      </c>
      <c r="N790" s="1" t="str">
        <f>""</f>
        <v/>
      </c>
      <c r="O790" s="1">
        <v>1</v>
      </c>
      <c r="P790" s="1"/>
      <c r="Q790" t="s">
        <v>298</v>
      </c>
    </row>
    <row r="791" spans="1:17" x14ac:dyDescent="0.25">
      <c r="A791" t="str">
        <f>"2018-10-03 21:43:10"</f>
        <v>2018-10-03 21:43:10</v>
      </c>
      <c r="B791" s="1" t="str">
        <f>""</f>
        <v/>
      </c>
      <c r="C791" s="1" t="str">
        <f>"Lethbridge Kyodokan Judo Club"</f>
        <v>Lethbridge Kyodokan Judo Club</v>
      </c>
      <c r="D791" s="1" t="str">
        <f>"AB"</f>
        <v>AB</v>
      </c>
      <c r="E791" s="1" t="str">
        <f>"Alabama"</f>
        <v>Alabama</v>
      </c>
      <c r="F791" s="1" t="str">
        <f>"Emma"</f>
        <v>Emma</v>
      </c>
      <c r="G791" s="1" t="str">
        <f>"Caldwell"</f>
        <v>Caldwell</v>
      </c>
      <c r="H791" s="1" t="str">
        <f>"0199001"</f>
        <v>0199001</v>
      </c>
      <c r="I791" s="1" t="str">
        <f t="shared" si="114"/>
        <v>F</v>
      </c>
      <c r="J791" s="2">
        <v>2002</v>
      </c>
      <c r="K791" s="1" t="str">
        <f>"1k"</f>
        <v>1k</v>
      </c>
      <c r="L791" s="1" t="s">
        <v>121</v>
      </c>
      <c r="M791" s="1" t="str">
        <f t="shared" si="115"/>
        <v>-57</v>
      </c>
      <c r="N791" s="1" t="str">
        <f>""</f>
        <v/>
      </c>
      <c r="O791" s="1">
        <v>2</v>
      </c>
      <c r="P791" s="1"/>
      <c r="Q791" t="s">
        <v>298</v>
      </c>
    </row>
    <row r="792" spans="1:17" x14ac:dyDescent="0.25">
      <c r="A792" t="str">
        <f>"2018-10-24 21:37:56"</f>
        <v>2018-10-24 21:37:56</v>
      </c>
      <c r="B792" s="1" t="str">
        <f>""</f>
        <v/>
      </c>
      <c r="C792" s="1" t="str">
        <f>"Takahashi Dojo"</f>
        <v>Takahashi Dojo</v>
      </c>
      <c r="D792" s="1" t="str">
        <f>"ON"</f>
        <v>ON</v>
      </c>
      <c r="E792" s="1" t="str">
        <f>"Ontario"</f>
        <v>Ontario</v>
      </c>
      <c r="F792" s="1" t="str">
        <f>"Ella"</f>
        <v>Ella</v>
      </c>
      <c r="G792" s="1" t="str">
        <f>"Dunstone"</f>
        <v>Dunstone</v>
      </c>
      <c r="H792" s="1" t="str">
        <f>"0208335"</f>
        <v>0208335</v>
      </c>
      <c r="I792" s="1" t="str">
        <f t="shared" si="114"/>
        <v>F</v>
      </c>
      <c r="J792" s="2">
        <v>2002</v>
      </c>
      <c r="K792" s="1" t="str">
        <f>"1k"</f>
        <v>1k</v>
      </c>
      <c r="L792" s="1" t="str">
        <f>"U18"</f>
        <v>U18</v>
      </c>
      <c r="M792" s="1" t="str">
        <f t="shared" si="115"/>
        <v>-57</v>
      </c>
      <c r="N792" s="1" t="str">
        <f>""</f>
        <v/>
      </c>
      <c r="O792" s="1">
        <v>1</v>
      </c>
      <c r="P792" s="1"/>
      <c r="Q792" t="s">
        <v>298</v>
      </c>
    </row>
    <row r="793" spans="1:17" x14ac:dyDescent="0.25">
      <c r="B793" s="1" t="str">
        <f>""</f>
        <v/>
      </c>
      <c r="C793" s="1" t="str">
        <f>"Pedro's Judo National Team Force"</f>
        <v>Pedro's Judo National Team Force</v>
      </c>
      <c r="D793" s="1" t="s">
        <v>106</v>
      </c>
      <c r="E793" s="1" t="str">
        <f>"New Hampshire"</f>
        <v>New Hampshire</v>
      </c>
      <c r="F793" s="1" t="str">
        <f>"Skylar"</f>
        <v>Skylar</v>
      </c>
      <c r="G793" s="9" t="str">
        <f>"Hattendorf"</f>
        <v>Hattendorf</v>
      </c>
      <c r="H793" s="1" t="str">
        <f>"AutreFederation"</f>
        <v>AutreFederation</v>
      </c>
      <c r="I793" s="1" t="str">
        <f t="shared" si="114"/>
        <v>F</v>
      </c>
      <c r="J793" s="2">
        <v>2004</v>
      </c>
      <c r="K793" s="1" t="str">
        <f>"1k"</f>
        <v>1k</v>
      </c>
      <c r="L793" s="1" t="s">
        <v>121</v>
      </c>
      <c r="M793" s="1" t="str">
        <f t="shared" si="115"/>
        <v>-57</v>
      </c>
      <c r="N793" s="1" t="str">
        <f>""</f>
        <v/>
      </c>
      <c r="O793" s="1">
        <v>2</v>
      </c>
      <c r="P793" s="10"/>
      <c r="Q793" t="s">
        <v>298</v>
      </c>
    </row>
    <row r="794" spans="1:17" x14ac:dyDescent="0.25">
      <c r="A794" t="str">
        <f>"2018-10-08 09:41:46"</f>
        <v>2018-10-08 09:41:46</v>
      </c>
      <c r="B794" s="1" t="str">
        <f>""</f>
        <v/>
      </c>
      <c r="C794" s="1" t="str">
        <f>"Bushido"</f>
        <v>Bushido</v>
      </c>
      <c r="D794" s="1" t="str">
        <f>"NB"</f>
        <v>NB</v>
      </c>
      <c r="E794" s="1" t="str">
        <f>"New Brunswick"</f>
        <v>New Brunswick</v>
      </c>
      <c r="F794" s="1" t="str">
        <f>"Destiny"</f>
        <v>Destiny</v>
      </c>
      <c r="G794" s="1" t="str">
        <f>"Hayes"</f>
        <v>Hayes</v>
      </c>
      <c r="H794" s="1" t="str">
        <f>"0215386"</f>
        <v>0215386</v>
      </c>
      <c r="I794" s="1" t="str">
        <f t="shared" si="114"/>
        <v>F</v>
      </c>
      <c r="J794" s="2">
        <v>2003</v>
      </c>
      <c r="K794" s="1" t="str">
        <f>"2k"</f>
        <v>2k</v>
      </c>
      <c r="L794" s="1" t="str">
        <f>"U18"</f>
        <v>U18</v>
      </c>
      <c r="M794" s="1" t="str">
        <f t="shared" si="115"/>
        <v>-57</v>
      </c>
      <c r="N794" s="1" t="str">
        <f>""</f>
        <v/>
      </c>
      <c r="O794" s="1">
        <v>1</v>
      </c>
      <c r="P794" s="1"/>
      <c r="Q794" t="s">
        <v>298</v>
      </c>
    </row>
    <row r="795" spans="1:17" x14ac:dyDescent="0.25">
      <c r="A795" t="str">
        <f>"2018-10-20 12:09:39"</f>
        <v>2018-10-20 12:09:39</v>
      </c>
      <c r="B795" s="1" t="str">
        <f>""</f>
        <v/>
      </c>
      <c r="C795" s="1" t="str">
        <f>"Pense Judo Club"</f>
        <v>Pense Judo Club</v>
      </c>
      <c r="D795" s="1" t="str">
        <f>"SK"</f>
        <v>SK</v>
      </c>
      <c r="E795" s="1" t="str">
        <f>"Saskatchewan"</f>
        <v>Saskatchewan</v>
      </c>
      <c r="F795" s="1" t="str">
        <f>"Elysia"</f>
        <v>Elysia</v>
      </c>
      <c r="G795" s="1" t="str">
        <f>"Kehrig"</f>
        <v>Kehrig</v>
      </c>
      <c r="H795" s="1" t="str">
        <f>"0172572"</f>
        <v>0172572</v>
      </c>
      <c r="I795" s="1" t="str">
        <f t="shared" si="114"/>
        <v>F</v>
      </c>
      <c r="J795" s="2">
        <v>2002</v>
      </c>
      <c r="K795" s="1" t="str">
        <f>"2k"</f>
        <v>2k</v>
      </c>
      <c r="L795" s="1" t="s">
        <v>121</v>
      </c>
      <c r="M795" s="1" t="str">
        <f t="shared" si="115"/>
        <v>-57</v>
      </c>
      <c r="N795" s="1" t="str">
        <f>""</f>
        <v/>
      </c>
      <c r="O795" s="1">
        <v>2</v>
      </c>
      <c r="P795" s="1"/>
      <c r="Q795" t="s">
        <v>298</v>
      </c>
    </row>
    <row r="796" spans="1:17" x14ac:dyDescent="0.25">
      <c r="A796" t="str">
        <f>"2018-10-25 17:41:07"</f>
        <v>2018-10-25 17:41:07</v>
      </c>
      <c r="B796" s="1" t="str">
        <f>""</f>
        <v/>
      </c>
      <c r="C796" s="1" t="str">
        <f>"Hoku Sei Kan Judo Club"</f>
        <v>Hoku Sei Kan Judo Club</v>
      </c>
      <c r="D796" s="1" t="str">
        <f>"AB"</f>
        <v>AB</v>
      </c>
      <c r="E796" s="1" t="str">
        <f>"Alberta"</f>
        <v>Alberta</v>
      </c>
      <c r="F796" s="1" t="str">
        <f>"Sydney"</f>
        <v>Sydney</v>
      </c>
      <c r="G796" s="1" t="str">
        <f>"Kinderwater"</f>
        <v>Kinderwater</v>
      </c>
      <c r="H796" s="1" t="str">
        <f>"0190640"</f>
        <v>0190640</v>
      </c>
      <c r="I796" s="1" t="str">
        <f t="shared" si="114"/>
        <v>F</v>
      </c>
      <c r="J796" s="2">
        <v>2004</v>
      </c>
      <c r="K796" s="1" t="str">
        <f>"3k"</f>
        <v>3k</v>
      </c>
      <c r="L796" s="1" t="s">
        <v>121</v>
      </c>
      <c r="M796" s="1" t="str">
        <f t="shared" si="115"/>
        <v>-57</v>
      </c>
      <c r="N796" s="1" t="str">
        <f>""</f>
        <v/>
      </c>
      <c r="O796" s="1">
        <v>2</v>
      </c>
      <c r="P796" s="1"/>
      <c r="Q796" t="s">
        <v>298</v>
      </c>
    </row>
    <row r="797" spans="1:17" x14ac:dyDescent="0.25">
      <c r="A797" t="str">
        <f>"2018-10-19 21:38:25"</f>
        <v>2018-10-19 21:38:25</v>
      </c>
      <c r="B797" s="1" t="str">
        <f>""</f>
        <v/>
      </c>
      <c r="C797" s="1" t="str">
        <f>"York Judo Club"</f>
        <v>York Judo Club</v>
      </c>
      <c r="D797" s="1" t="str">
        <f>"ON"</f>
        <v>ON</v>
      </c>
      <c r="E797" s="1" t="str">
        <f>"Ontario"</f>
        <v>Ontario</v>
      </c>
      <c r="F797" s="1" t="str">
        <f>"Rhiannon"</f>
        <v>Rhiannon</v>
      </c>
      <c r="G797" s="1" t="str">
        <f>"Lau"</f>
        <v>Lau</v>
      </c>
      <c r="H797" s="1" t="str">
        <f>"0172987"</f>
        <v>0172987</v>
      </c>
      <c r="I797" s="1" t="str">
        <f t="shared" si="114"/>
        <v>F</v>
      </c>
      <c r="J797" s="2">
        <v>2002</v>
      </c>
      <c r="K797" s="1" t="str">
        <f t="shared" ref="K797:K802" si="116">"1k"</f>
        <v>1k</v>
      </c>
      <c r="L797" s="1" t="s">
        <v>121</v>
      </c>
      <c r="M797" s="1" t="str">
        <f t="shared" si="115"/>
        <v>-57</v>
      </c>
      <c r="N797" s="1" t="str">
        <f>""</f>
        <v/>
      </c>
      <c r="O797" s="1">
        <v>2</v>
      </c>
      <c r="P797" s="1"/>
      <c r="Q797" t="s">
        <v>298</v>
      </c>
    </row>
    <row r="798" spans="1:17" x14ac:dyDescent="0.25">
      <c r="A798" t="str">
        <f>"2018-10-19 18:53:31"</f>
        <v>2018-10-19 18:53:31</v>
      </c>
      <c r="B798" s="1" t="str">
        <f>""</f>
        <v/>
      </c>
      <c r="C798" s="1" t="str">
        <f>"Shin Bu Kan"</f>
        <v>Shin Bu Kan</v>
      </c>
      <c r="D798" s="1" t="str">
        <f>"ON"</f>
        <v>ON</v>
      </c>
      <c r="E798" s="1" t="str">
        <f>"Ontario"</f>
        <v>Ontario</v>
      </c>
      <c r="F798" s="1" t="str">
        <f>"Anne Hyunkyung"</f>
        <v>Anne Hyunkyung</v>
      </c>
      <c r="G798" s="1" t="str">
        <f>"Lee"</f>
        <v>Lee</v>
      </c>
      <c r="H798" s="1" t="str">
        <f>"0156086"</f>
        <v>0156086</v>
      </c>
      <c r="I798" s="1" t="str">
        <f t="shared" si="114"/>
        <v>F</v>
      </c>
      <c r="J798" s="2">
        <v>2003</v>
      </c>
      <c r="K798" s="1" t="str">
        <f t="shared" si="116"/>
        <v>1k</v>
      </c>
      <c r="L798" s="1" t="str">
        <f>"U18"</f>
        <v>U18</v>
      </c>
      <c r="M798" s="1" t="str">
        <f t="shared" si="115"/>
        <v>-57</v>
      </c>
      <c r="N798" s="1" t="str">
        <f>""</f>
        <v/>
      </c>
      <c r="O798" s="1">
        <v>1</v>
      </c>
      <c r="P798" s="1"/>
      <c r="Q798" t="s">
        <v>298</v>
      </c>
    </row>
    <row r="799" spans="1:17" x14ac:dyDescent="0.25">
      <c r="A799" t="str">
        <f>"2018-10-19 18:53:31"</f>
        <v>2018-10-19 18:53:31</v>
      </c>
      <c r="B799" s="1" t="str">
        <f>""</f>
        <v/>
      </c>
      <c r="C799" s="1" t="str">
        <f>"Scarborough Dojo"</f>
        <v>Scarborough Dojo</v>
      </c>
      <c r="D799" s="1" t="str">
        <f>"ON"</f>
        <v>ON</v>
      </c>
      <c r="E799" s="1" t="str">
        <f>"Ontario"</f>
        <v>Ontario</v>
      </c>
      <c r="F799" s="1" t="str">
        <f>"Alyssandra Phoebe"</f>
        <v>Alyssandra Phoebe</v>
      </c>
      <c r="G799" s="1" t="str">
        <f>"Manuel"</f>
        <v>Manuel</v>
      </c>
      <c r="H799" s="1" t="str">
        <f>"0196681"</f>
        <v>0196681</v>
      </c>
      <c r="I799" s="1" t="str">
        <f t="shared" si="114"/>
        <v>F</v>
      </c>
      <c r="J799" s="2">
        <v>2003</v>
      </c>
      <c r="K799" s="1" t="str">
        <f t="shared" si="116"/>
        <v>1k</v>
      </c>
      <c r="L799" s="1" t="s">
        <v>121</v>
      </c>
      <c r="M799" s="1" t="str">
        <f t="shared" si="115"/>
        <v>-57</v>
      </c>
      <c r="N799" s="1" t="str">
        <f>"-57 kgs"</f>
        <v>-57 kgs</v>
      </c>
      <c r="O799" s="1">
        <v>2</v>
      </c>
      <c r="P799" s="1"/>
      <c r="Q799" t="s">
        <v>298</v>
      </c>
    </row>
    <row r="800" spans="1:17" x14ac:dyDescent="0.25">
      <c r="A800" t="str">
        <f>"2018-10-25 17:41:07"</f>
        <v>2018-10-25 17:41:07</v>
      </c>
      <c r="B800" s="1" t="str">
        <f>""</f>
        <v/>
      </c>
      <c r="C800" s="1" t="str">
        <f>"Club Kimo"</f>
        <v>Club Kimo</v>
      </c>
      <c r="D800" s="1" t="str">
        <f>"NB"</f>
        <v>NB</v>
      </c>
      <c r="E800" s="1" t="str">
        <f>"New Brunswick"</f>
        <v>New Brunswick</v>
      </c>
      <c r="F800" s="1" t="str">
        <f>"Claudie"</f>
        <v>Claudie</v>
      </c>
      <c r="G800" s="1" t="str">
        <f>"Marchand"</f>
        <v>Marchand</v>
      </c>
      <c r="H800" s="1" t="str">
        <f>"0177975"</f>
        <v>0177975</v>
      </c>
      <c r="I800" s="1" t="str">
        <f t="shared" si="114"/>
        <v>F</v>
      </c>
      <c r="J800" s="2">
        <v>2003</v>
      </c>
      <c r="K800" s="1" t="str">
        <f t="shared" si="116"/>
        <v>1k</v>
      </c>
      <c r="L800" s="1" t="str">
        <f t="shared" ref="L800:L806" si="117">"U18"</f>
        <v>U18</v>
      </c>
      <c r="M800" s="1" t="str">
        <f t="shared" si="115"/>
        <v>-57</v>
      </c>
      <c r="N800" s="1" t="str">
        <f>""</f>
        <v/>
      </c>
      <c r="O800" s="1">
        <v>1</v>
      </c>
      <c r="P800" s="1"/>
      <c r="Q800" t="s">
        <v>298</v>
      </c>
    </row>
    <row r="801" spans="1:17" x14ac:dyDescent="0.25">
      <c r="A801" t="str">
        <f>"2018-10-21 13:50:17"</f>
        <v>2018-10-21 13:50:17</v>
      </c>
      <c r="B801" s="1" t="str">
        <f>""</f>
        <v/>
      </c>
      <c r="C801" s="1" t="str">
        <f>"Jason Morris Judo Center"</f>
        <v>Jason Morris Judo Center</v>
      </c>
      <c r="D801" s="1" t="s">
        <v>106</v>
      </c>
      <c r="E801" s="1" t="str">
        <f>"NY"</f>
        <v>NY</v>
      </c>
      <c r="F801" s="1" t="str">
        <f>"Alexa"</f>
        <v>Alexa</v>
      </c>
      <c r="G801" s="1" t="str">
        <f>"Michaelson"</f>
        <v>Michaelson</v>
      </c>
      <c r="H801" s="1" t="str">
        <f>"AutreFederation"</f>
        <v>AutreFederation</v>
      </c>
      <c r="I801" s="1" t="str">
        <f t="shared" si="114"/>
        <v>F</v>
      </c>
      <c r="J801" s="2">
        <v>2002</v>
      </c>
      <c r="K801" s="1" t="str">
        <f t="shared" si="116"/>
        <v>1k</v>
      </c>
      <c r="L801" s="1" t="str">
        <f t="shared" si="117"/>
        <v>U18</v>
      </c>
      <c r="M801" s="1" t="str">
        <f t="shared" si="115"/>
        <v>-57</v>
      </c>
      <c r="N801" s="1" t="str">
        <f>""</f>
        <v/>
      </c>
      <c r="O801" s="1">
        <v>1</v>
      </c>
      <c r="P801" s="1"/>
      <c r="Q801" t="s">
        <v>298</v>
      </c>
    </row>
    <row r="802" spans="1:17" x14ac:dyDescent="0.25">
      <c r="A802" t="str">
        <f>"2018-10-11 13:39:30"</f>
        <v>2018-10-11 13:39:30</v>
      </c>
      <c r="B802" s="1" t="str">
        <f>""</f>
        <v/>
      </c>
      <c r="C802" s="1" t="str">
        <f>"Club de judo Torakai"</f>
        <v>Club de judo Torakai</v>
      </c>
      <c r="D802" s="1" t="str">
        <f>"QC"</f>
        <v>QC</v>
      </c>
      <c r="E802" s="1" t="str">
        <f>"Quebec"</f>
        <v>Quebec</v>
      </c>
      <c r="F802" s="1" t="str">
        <f>"Juliette"</f>
        <v>Juliette</v>
      </c>
      <c r="G802" s="1" t="str">
        <f>"Mireault"</f>
        <v>Mireault</v>
      </c>
      <c r="H802" s="1" t="str">
        <f>"0221549"</f>
        <v>0221549</v>
      </c>
      <c r="I802" s="1" t="str">
        <f t="shared" si="114"/>
        <v>F</v>
      </c>
      <c r="J802" s="2">
        <v>2002</v>
      </c>
      <c r="K802" s="1" t="str">
        <f t="shared" si="116"/>
        <v>1k</v>
      </c>
      <c r="L802" s="1" t="str">
        <f t="shared" si="117"/>
        <v>U18</v>
      </c>
      <c r="M802" s="1" t="str">
        <f t="shared" si="115"/>
        <v>-57</v>
      </c>
      <c r="N802" s="1" t="str">
        <f>""</f>
        <v/>
      </c>
      <c r="O802" s="1">
        <v>1</v>
      </c>
      <c r="P802" s="1"/>
      <c r="Q802" t="s">
        <v>298</v>
      </c>
    </row>
    <row r="803" spans="1:17" x14ac:dyDescent="0.25">
      <c r="A803" t="str">
        <f>"2018-10-21 14:42:32"</f>
        <v>2018-10-21 14:42:32</v>
      </c>
      <c r="B803" s="1" t="str">
        <f>""</f>
        <v/>
      </c>
      <c r="C803" s="1" t="str">
        <f>"Hayabusakan"</f>
        <v>Hayabusakan</v>
      </c>
      <c r="D803" s="1" t="str">
        <f>"ON"</f>
        <v>ON</v>
      </c>
      <c r="E803" s="1" t="str">
        <f>"Ontario"</f>
        <v>Ontario</v>
      </c>
      <c r="F803" s="1" t="str">
        <f>"Eden"</f>
        <v>Eden</v>
      </c>
      <c r="G803" s="1" t="str">
        <f>"Ormston"</f>
        <v>Ormston</v>
      </c>
      <c r="H803" s="1" t="str">
        <f>"0225325"</f>
        <v>0225325</v>
      </c>
      <c r="I803" s="1" t="str">
        <f t="shared" si="114"/>
        <v>F</v>
      </c>
      <c r="J803" s="2">
        <v>2003</v>
      </c>
      <c r="K803" s="1" t="str">
        <f>"2k"</f>
        <v>2k</v>
      </c>
      <c r="L803" s="1" t="str">
        <f t="shared" si="117"/>
        <v>U18</v>
      </c>
      <c r="M803" s="1" t="str">
        <f t="shared" si="115"/>
        <v>-57</v>
      </c>
      <c r="N803" s="1" t="str">
        <f>""</f>
        <v/>
      </c>
      <c r="O803" s="1">
        <v>1</v>
      </c>
      <c r="P803" s="1"/>
      <c r="Q803" t="s">
        <v>298</v>
      </c>
    </row>
    <row r="804" spans="1:17" x14ac:dyDescent="0.25">
      <c r="A804" t="str">
        <f>"2018-10-17 23:18:32"</f>
        <v>2018-10-17 23:18:32</v>
      </c>
      <c r="B804" s="1" t="str">
        <f>""</f>
        <v/>
      </c>
      <c r="C804" s="1" t="str">
        <f>"Kodokwai Judo Club"</f>
        <v>Kodokwai Judo Club</v>
      </c>
      <c r="D804" s="1" t="str">
        <f>"AB"</f>
        <v>AB</v>
      </c>
      <c r="E804" s="1" t="str">
        <f>"Alberta"</f>
        <v>Alberta</v>
      </c>
      <c r="F804" s="1" t="str">
        <f>"Kelley"</f>
        <v>Kelley</v>
      </c>
      <c r="G804" s="1" t="str">
        <f>"Polowy"</f>
        <v>Polowy</v>
      </c>
      <c r="H804" s="1" t="str">
        <f>"0190387"</f>
        <v>0190387</v>
      </c>
      <c r="I804" s="1" t="str">
        <f t="shared" si="114"/>
        <v>F</v>
      </c>
      <c r="J804" s="2">
        <v>2002</v>
      </c>
      <c r="K804" s="1" t="str">
        <f>"2k"</f>
        <v>2k</v>
      </c>
      <c r="L804" s="1" t="str">
        <f t="shared" si="117"/>
        <v>U18</v>
      </c>
      <c r="M804" s="1" t="str">
        <f t="shared" si="115"/>
        <v>-57</v>
      </c>
      <c r="N804" s="1" t="str">
        <f>""</f>
        <v/>
      </c>
      <c r="O804" s="1">
        <v>1</v>
      </c>
      <c r="P804" s="1"/>
      <c r="Q804" t="s">
        <v>298</v>
      </c>
    </row>
    <row r="805" spans="1:17" x14ac:dyDescent="0.25">
      <c r="A805" t="str">
        <f>"2018-10-22 21:53:13"</f>
        <v>2018-10-22 21:53:13</v>
      </c>
      <c r="B805" s="1" t="str">
        <f>""</f>
        <v/>
      </c>
      <c r="C805" s="1" t="str">
        <f>"Club de judo de Varennes"</f>
        <v>Club de judo de Varennes</v>
      </c>
      <c r="D805" s="1" t="str">
        <f>"QC"</f>
        <v>QC</v>
      </c>
      <c r="E805" s="1" t="str">
        <f>"Quebec"</f>
        <v>Quebec</v>
      </c>
      <c r="F805" s="1" t="str">
        <f>"Florence"</f>
        <v>Florence</v>
      </c>
      <c r="G805" s="1" t="str">
        <f>"Salvas"</f>
        <v>Salvas</v>
      </c>
      <c r="H805" s="1" t="str">
        <f>"0206295"</f>
        <v>0206295</v>
      </c>
      <c r="I805" s="1" t="str">
        <f t="shared" si="114"/>
        <v>F</v>
      </c>
      <c r="J805" s="2">
        <v>2003</v>
      </c>
      <c r="K805" s="1" t="str">
        <f>"1k"</f>
        <v>1k</v>
      </c>
      <c r="L805" s="1" t="str">
        <f t="shared" si="117"/>
        <v>U18</v>
      </c>
      <c r="M805" s="1" t="str">
        <f t="shared" si="115"/>
        <v>-57</v>
      </c>
      <c r="N805" s="1" t="str">
        <f>""</f>
        <v/>
      </c>
      <c r="O805" s="1">
        <v>1</v>
      </c>
      <c r="P805" s="1"/>
      <c r="Q805" t="s">
        <v>298</v>
      </c>
    </row>
    <row r="806" spans="1:17" x14ac:dyDescent="0.25">
      <c r="A806" t="str">
        <f>"2018-10-19 18:30:02"</f>
        <v>2018-10-19 18:30:02</v>
      </c>
      <c r="B806" s="1" t="str">
        <f>""</f>
        <v/>
      </c>
      <c r="C806" s="1" t="str">
        <f>"Club de judo Seïkidokan inc."</f>
        <v>Club de judo Seïkidokan inc.</v>
      </c>
      <c r="D806" s="1" t="str">
        <f>"QC"</f>
        <v>QC</v>
      </c>
      <c r="E806" s="1" t="str">
        <f>"Quebec"</f>
        <v>Quebec</v>
      </c>
      <c r="F806" s="1" t="str">
        <f>"Lea"</f>
        <v>Lea</v>
      </c>
      <c r="G806" s="1" t="str">
        <f>"St-Arnaud"</f>
        <v>St-Arnaud</v>
      </c>
      <c r="H806" s="1" t="str">
        <f>"0220452"</f>
        <v>0220452</v>
      </c>
      <c r="I806" s="1" t="str">
        <f t="shared" si="114"/>
        <v>F</v>
      </c>
      <c r="J806" s="2">
        <v>2003</v>
      </c>
      <c r="K806" s="1" t="str">
        <f>"3k"</f>
        <v>3k</v>
      </c>
      <c r="L806" s="1" t="str">
        <f t="shared" si="117"/>
        <v>U18</v>
      </c>
      <c r="M806" s="1" t="str">
        <f t="shared" si="115"/>
        <v>-57</v>
      </c>
      <c r="N806" s="1" t="str">
        <f>""</f>
        <v/>
      </c>
      <c r="O806" s="1">
        <v>1</v>
      </c>
      <c r="P806" s="1"/>
      <c r="Q806" t="s">
        <v>298</v>
      </c>
    </row>
    <row r="807" spans="1:17" x14ac:dyDescent="0.25">
      <c r="A807" t="str">
        <f>"2018-10-18 12:14:54"</f>
        <v>2018-10-18 12:14:54</v>
      </c>
      <c r="B807" s="1" t="str">
        <f>""</f>
        <v/>
      </c>
      <c r="C807" s="1" t="str">
        <f>"Lethbridge Kyodokan Judo Club"</f>
        <v>Lethbridge Kyodokan Judo Club</v>
      </c>
      <c r="D807" s="1" t="str">
        <f>"AB"</f>
        <v>AB</v>
      </c>
      <c r="E807" s="1" t="str">
        <f>"Alberta"</f>
        <v>Alberta</v>
      </c>
      <c r="F807" s="1" t="str">
        <f>"Kiera"</f>
        <v>Kiera</v>
      </c>
      <c r="G807" s="1" t="str">
        <f>"Westlake"</f>
        <v>Westlake</v>
      </c>
      <c r="H807" s="1" t="str">
        <f>"0147633"</f>
        <v>0147633</v>
      </c>
      <c r="I807" s="1" t="str">
        <f t="shared" si="114"/>
        <v>F</v>
      </c>
      <c r="J807" s="2">
        <v>2002</v>
      </c>
      <c r="K807" s="1" t="str">
        <f>"1k"</f>
        <v>1k</v>
      </c>
      <c r="L807" s="1" t="s">
        <v>121</v>
      </c>
      <c r="M807" s="1" t="str">
        <f t="shared" si="115"/>
        <v>-57</v>
      </c>
      <c r="N807" s="1" t="str">
        <f>""</f>
        <v/>
      </c>
      <c r="O807" s="1">
        <v>2</v>
      </c>
      <c r="P807" s="1"/>
      <c r="Q807" t="s">
        <v>298</v>
      </c>
    </row>
    <row r="808" spans="1:17" x14ac:dyDescent="0.25">
      <c r="A808" t="str">
        <f>"2018-10-19 18:53:31"</f>
        <v>2018-10-19 18:53:31</v>
      </c>
      <c r="B808" s="1" t="str">
        <f>""</f>
        <v/>
      </c>
      <c r="C808" s="1" t="str">
        <f>"Club de judo de la vieille capitale"</f>
        <v>Club de judo de la vieille capitale</v>
      </c>
      <c r="D808" s="1" t="str">
        <f>"QC"</f>
        <v>QC</v>
      </c>
      <c r="E808" s="1" t="str">
        <f>"Quebec"</f>
        <v>Quebec</v>
      </c>
      <c r="F808" s="1" t="str">
        <f>"John"</f>
        <v>John</v>
      </c>
      <c r="G808" s="1" t="str">
        <f>"Abraini"</f>
        <v>Abraini</v>
      </c>
      <c r="H808" s="1" t="str">
        <f>"0176332"</f>
        <v>0176332</v>
      </c>
      <c r="I808" s="1" t="str">
        <f t="shared" ref="I808:I840" si="118">"M"</f>
        <v>M</v>
      </c>
      <c r="J808" s="2">
        <v>2003</v>
      </c>
      <c r="K808" s="1" t="str">
        <f>"1k"</f>
        <v>1k</v>
      </c>
      <c r="L808" s="1" t="str">
        <f>"U18"</f>
        <v>U18</v>
      </c>
      <c r="M808" s="1" t="str">
        <f t="shared" ref="M808:M840" si="119">"-60"</f>
        <v>-60</v>
      </c>
      <c r="N808" s="1" t="str">
        <f>""</f>
        <v/>
      </c>
      <c r="O808" s="1">
        <v>1</v>
      </c>
      <c r="P808" s="1"/>
      <c r="Q808" t="s">
        <v>299</v>
      </c>
    </row>
    <row r="809" spans="1:17" x14ac:dyDescent="0.25">
      <c r="A809" t="str">
        <f>"2018-10-21 20:58:42"</f>
        <v>2018-10-21 20:58:42</v>
      </c>
      <c r="B809" s="1" t="str">
        <f>""</f>
        <v/>
      </c>
      <c r="C809" s="1" t="str">
        <f>"Club de judo Torakai"</f>
        <v>Club de judo Torakai</v>
      </c>
      <c r="D809" s="1" t="str">
        <f>"QC"</f>
        <v>QC</v>
      </c>
      <c r="E809" s="1" t="str">
        <f>"Quebec"</f>
        <v>Quebec</v>
      </c>
      <c r="F809" s="1" t="str">
        <f>"Guillaume"</f>
        <v>Guillaume</v>
      </c>
      <c r="G809" s="1" t="str">
        <f>"Auclair"</f>
        <v>Auclair</v>
      </c>
      <c r="H809" s="1" t="str">
        <f>"0199411"</f>
        <v>0199411</v>
      </c>
      <c r="I809" s="1" t="str">
        <f t="shared" si="118"/>
        <v>M</v>
      </c>
      <c r="J809" s="2">
        <v>2004</v>
      </c>
      <c r="K809" s="1" t="str">
        <f>"1k"</f>
        <v>1k</v>
      </c>
      <c r="L809" s="1" t="s">
        <v>121</v>
      </c>
      <c r="M809" s="1" t="str">
        <f t="shared" si="119"/>
        <v>-60</v>
      </c>
      <c r="N809" s="1" t="str">
        <f>""</f>
        <v/>
      </c>
      <c r="O809" s="1">
        <v>2</v>
      </c>
      <c r="P809" s="1"/>
      <c r="Q809" t="s">
        <v>299</v>
      </c>
    </row>
    <row r="810" spans="1:17" x14ac:dyDescent="0.25">
      <c r="A810" t="str">
        <f>"2018-10-11 13:39:30"</f>
        <v>2018-10-11 13:39:30</v>
      </c>
      <c r="B810" s="1" t="str">
        <f>""</f>
        <v/>
      </c>
      <c r="C810" s="1" t="str">
        <f>"Club de judo Judo-Tech"</f>
        <v>Club de judo Judo-Tech</v>
      </c>
      <c r="D810" s="1" t="str">
        <f>"QC"</f>
        <v>QC</v>
      </c>
      <c r="E810" s="1" t="str">
        <f>"Quebec"</f>
        <v>Quebec</v>
      </c>
      <c r="F810" s="1" t="str">
        <f>"Mathias"</f>
        <v>Mathias</v>
      </c>
      <c r="G810" s="1" t="str">
        <f>"Barsalou"</f>
        <v>Barsalou</v>
      </c>
      <c r="H810" s="1" t="str">
        <f>"0176819"</f>
        <v>0176819</v>
      </c>
      <c r="I810" s="1" t="str">
        <f t="shared" si="118"/>
        <v>M</v>
      </c>
      <c r="J810" s="2">
        <v>2003</v>
      </c>
      <c r="K810" s="1" t="str">
        <f>"1k"</f>
        <v>1k</v>
      </c>
      <c r="L810" s="1" t="str">
        <f>"U18"</f>
        <v>U18</v>
      </c>
      <c r="M810" s="1" t="str">
        <f t="shared" si="119"/>
        <v>-60</v>
      </c>
      <c r="N810" s="1" t="str">
        <f>""</f>
        <v/>
      </c>
      <c r="O810" s="1">
        <v>1</v>
      </c>
      <c r="P810" s="1"/>
      <c r="Q810" t="s">
        <v>299</v>
      </c>
    </row>
    <row r="811" spans="1:17" x14ac:dyDescent="0.25">
      <c r="A811" t="str">
        <f>"2018-10-15 20:46:12"</f>
        <v>2018-10-15 20:46:12</v>
      </c>
      <c r="B811" s="1" t="str">
        <f>""</f>
        <v/>
      </c>
      <c r="C811" s="1" t="str">
        <f>"Bushido"</f>
        <v>Bushido</v>
      </c>
      <c r="D811" s="1" t="str">
        <f>"NB"</f>
        <v>NB</v>
      </c>
      <c r="E811" s="1" t="str">
        <f>"New Brunswick"</f>
        <v>New Brunswick</v>
      </c>
      <c r="F811" s="1" t="str">
        <f>"Zachary"</f>
        <v>Zachary</v>
      </c>
      <c r="G811" s="1" t="str">
        <f>"Belanger"</f>
        <v>Belanger</v>
      </c>
      <c r="H811" s="1" t="str">
        <f>"0197756"</f>
        <v>0197756</v>
      </c>
      <c r="I811" s="1" t="str">
        <f t="shared" si="118"/>
        <v>M</v>
      </c>
      <c r="J811" s="2">
        <v>2003</v>
      </c>
      <c r="K811" s="1" t="str">
        <f>"1k"</f>
        <v>1k</v>
      </c>
      <c r="L811" s="1" t="str">
        <f>"U18"</f>
        <v>U18</v>
      </c>
      <c r="M811" s="1" t="str">
        <f t="shared" si="119"/>
        <v>-60</v>
      </c>
      <c r="N811" s="1" t="str">
        <f>""</f>
        <v/>
      </c>
      <c r="O811" s="1">
        <v>1</v>
      </c>
      <c r="P811" s="1"/>
      <c r="Q811" t="s">
        <v>299</v>
      </c>
    </row>
    <row r="812" spans="1:17" x14ac:dyDescent="0.25">
      <c r="A812" t="str">
        <f>"2018-10-20 12:09:39"</f>
        <v>2018-10-20 12:09:39</v>
      </c>
      <c r="B812" s="1" t="str">
        <f>""</f>
        <v/>
      </c>
      <c r="C812" s="1" t="str">
        <f>"Regina Y"</f>
        <v>Regina Y</v>
      </c>
      <c r="D812" s="1" t="str">
        <f>"SK"</f>
        <v>SK</v>
      </c>
      <c r="E812" s="1" t="str">
        <f>"Saskatchewan"</f>
        <v>Saskatchewan</v>
      </c>
      <c r="F812" s="1" t="str">
        <f>"Nathaniel"</f>
        <v>Nathaniel</v>
      </c>
      <c r="G812" s="1" t="str">
        <f>"Burton"</f>
        <v>Burton</v>
      </c>
      <c r="H812" s="1" t="str">
        <f>"0181763"</f>
        <v>0181763</v>
      </c>
      <c r="I812" s="1" t="str">
        <f t="shared" si="118"/>
        <v>M</v>
      </c>
      <c r="J812" s="2">
        <v>2004</v>
      </c>
      <c r="K812" s="1" t="str">
        <f>"2k+"</f>
        <v>2k+</v>
      </c>
      <c r="L812" s="1" t="s">
        <v>121</v>
      </c>
      <c r="M812" s="1" t="str">
        <f t="shared" si="119"/>
        <v>-60</v>
      </c>
      <c r="N812" s="1" t="str">
        <f>""</f>
        <v/>
      </c>
      <c r="O812" s="1">
        <v>2</v>
      </c>
      <c r="P812" s="1"/>
      <c r="Q812" t="s">
        <v>299</v>
      </c>
    </row>
    <row r="813" spans="1:17" x14ac:dyDescent="0.25">
      <c r="A813" t="str">
        <f>"2018-10-22 07:41:34"</f>
        <v>2018-10-22 07:41:34</v>
      </c>
      <c r="B813" s="1" t="str">
        <f>""</f>
        <v/>
      </c>
      <c r="C813" s="1" t="str">
        <f>"Judo Univestri/donini"</f>
        <v>Judo Univestri/donini</v>
      </c>
      <c r="D813" s="1" t="str">
        <f>"QC"</f>
        <v>QC</v>
      </c>
      <c r="E813" s="1" t="str">
        <f>"Quebec"</f>
        <v>Quebec</v>
      </c>
      <c r="F813" s="1" t="str">
        <f>"Gabriel"</f>
        <v>Gabriel</v>
      </c>
      <c r="G813" s="1" t="str">
        <f>"Caron"</f>
        <v>Caron</v>
      </c>
      <c r="H813" s="1" t="str">
        <f>"0224372"</f>
        <v>0224372</v>
      </c>
      <c r="I813" s="1" t="str">
        <f t="shared" si="118"/>
        <v>M</v>
      </c>
      <c r="J813" s="2">
        <v>2003</v>
      </c>
      <c r="K813" s="1" t="str">
        <f>"3k"</f>
        <v>3k</v>
      </c>
      <c r="L813" s="1" t="str">
        <f>"U18"</f>
        <v>U18</v>
      </c>
      <c r="M813" s="1" t="str">
        <f t="shared" si="119"/>
        <v>-60</v>
      </c>
      <c r="N813" s="1" t="str">
        <f>""</f>
        <v/>
      </c>
      <c r="O813" s="1">
        <v>1</v>
      </c>
      <c r="P813" s="1"/>
      <c r="Q813" t="s">
        <v>299</v>
      </c>
    </row>
    <row r="814" spans="1:17" x14ac:dyDescent="0.25">
      <c r="A814" t="str">
        <f>"2018-10-25 17:41:07"</f>
        <v>2018-10-25 17:41:07</v>
      </c>
      <c r="B814" s="1" t="str">
        <f>""</f>
        <v/>
      </c>
      <c r="C814" s="1" t="str">
        <f>"Judo Sambo Center"</f>
        <v>Judo Sambo Center</v>
      </c>
      <c r="D814" s="1" t="s">
        <v>106</v>
      </c>
      <c r="E814" s="1" t="str">
        <f>"New York"</f>
        <v>New York</v>
      </c>
      <c r="F814" s="1" t="str">
        <f>"Matthew"</f>
        <v>Matthew</v>
      </c>
      <c r="G814" s="1" t="str">
        <f>"Cherny"</f>
        <v>Cherny</v>
      </c>
      <c r="H814" s="1" t="str">
        <f>"AutreFederation"</f>
        <v>AutreFederation</v>
      </c>
      <c r="I814" s="1" t="str">
        <f t="shared" si="118"/>
        <v>M</v>
      </c>
      <c r="J814" s="2">
        <v>2003</v>
      </c>
      <c r="K814" s="1" t="str">
        <f>"1k"</f>
        <v>1k</v>
      </c>
      <c r="L814" s="1" t="str">
        <f>"U18"</f>
        <v>U18</v>
      </c>
      <c r="M814" s="1" t="str">
        <f t="shared" si="119"/>
        <v>-60</v>
      </c>
      <c r="N814" s="1" t="str">
        <f>""</f>
        <v/>
      </c>
      <c r="O814" s="1">
        <v>1</v>
      </c>
      <c r="P814" s="1"/>
      <c r="Q814" t="s">
        <v>299</v>
      </c>
    </row>
    <row r="815" spans="1:17" x14ac:dyDescent="0.25">
      <c r="A815" t="str">
        <f>"2018-10-20 13:19:21"</f>
        <v>2018-10-20 13:19:21</v>
      </c>
      <c r="B815" s="1" t="str">
        <f>""</f>
        <v/>
      </c>
      <c r="C815" s="1" t="str">
        <f>"Club de judo Saint-Hyacinthe Inc."</f>
        <v>Club de judo Saint-Hyacinthe Inc.</v>
      </c>
      <c r="D815" s="1" t="str">
        <f>"QC"</f>
        <v>QC</v>
      </c>
      <c r="E815" s="1" t="str">
        <f>"Quebec"</f>
        <v>Quebec</v>
      </c>
      <c r="F815" s="1" t="str">
        <f>"Félix"</f>
        <v>Félix</v>
      </c>
      <c r="G815" s="1" t="str">
        <f>"Desnoyers"</f>
        <v>Desnoyers</v>
      </c>
      <c r="H815" s="1" t="str">
        <f>"0180539"</f>
        <v>0180539</v>
      </c>
      <c r="I815" s="1" t="str">
        <f t="shared" si="118"/>
        <v>M</v>
      </c>
      <c r="J815" s="2">
        <v>2002</v>
      </c>
      <c r="K815" s="1" t="str">
        <f>"1k"</f>
        <v>1k</v>
      </c>
      <c r="L815" s="1" t="str">
        <f>"U18"</f>
        <v>U18</v>
      </c>
      <c r="M815" s="1" t="str">
        <f t="shared" si="119"/>
        <v>-60</v>
      </c>
      <c r="N815" s="1" t="str">
        <f>""</f>
        <v/>
      </c>
      <c r="O815" s="1">
        <v>1</v>
      </c>
      <c r="P815" s="1"/>
      <c r="Q815" t="s">
        <v>299</v>
      </c>
    </row>
    <row r="816" spans="1:17" x14ac:dyDescent="0.25">
      <c r="A816" t="str">
        <f>"2018-10-20 13:19:21"</f>
        <v>2018-10-20 13:19:21</v>
      </c>
      <c r="B816" s="1" t="str">
        <f>""</f>
        <v/>
      </c>
      <c r="C816" s="1" t="str">
        <f>"Club judokas Jonquière inc."</f>
        <v>Club judokas Jonquière inc.</v>
      </c>
      <c r="D816" s="1" t="str">
        <f>"QC"</f>
        <v>QC</v>
      </c>
      <c r="E816" s="1" t="str">
        <f>"Quebec"</f>
        <v>Quebec</v>
      </c>
      <c r="F816" s="1" t="str">
        <f>"Victor"</f>
        <v>Victor</v>
      </c>
      <c r="G816" s="1" t="str">
        <f>"Dessureault"</f>
        <v>Dessureault</v>
      </c>
      <c r="H816" s="1" t="str">
        <f>"0192159"</f>
        <v>0192159</v>
      </c>
      <c r="I816" s="1" t="str">
        <f t="shared" si="118"/>
        <v>M</v>
      </c>
      <c r="J816" s="2">
        <v>2004</v>
      </c>
      <c r="K816" s="1" t="str">
        <f>"1k"</f>
        <v>1k</v>
      </c>
      <c r="L816" s="1" t="s">
        <v>121</v>
      </c>
      <c r="M816" s="1" t="str">
        <f t="shared" si="119"/>
        <v>-60</v>
      </c>
      <c r="N816" s="1" t="str">
        <f>""</f>
        <v/>
      </c>
      <c r="O816" s="1">
        <v>2</v>
      </c>
      <c r="P816" s="1"/>
      <c r="Q816" t="s">
        <v>299</v>
      </c>
    </row>
    <row r="817" spans="1:17" x14ac:dyDescent="0.25">
      <c r="A817" t="str">
        <f>"2018-10-18 12:40:17"</f>
        <v>2018-10-18 12:40:17</v>
      </c>
      <c r="B817" s="1" t="str">
        <f>""</f>
        <v/>
      </c>
      <c r="C817" s="1" t="str">
        <f>"Lethbridge Kyodokan Judo Club"</f>
        <v>Lethbridge Kyodokan Judo Club</v>
      </c>
      <c r="D817" s="1" t="str">
        <f>"AB"</f>
        <v>AB</v>
      </c>
      <c r="E817" s="1" t="str">
        <f>"Alberta"</f>
        <v>Alberta</v>
      </c>
      <c r="F817" s="1" t="str">
        <f>"Brady"</f>
        <v>Brady</v>
      </c>
      <c r="G817" s="1" t="str">
        <f>"Dixon"</f>
        <v>Dixon</v>
      </c>
      <c r="H817" s="1" t="str">
        <f>"0184057"</f>
        <v>0184057</v>
      </c>
      <c r="I817" s="1" t="str">
        <f t="shared" si="118"/>
        <v>M</v>
      </c>
      <c r="J817" s="2">
        <v>2002</v>
      </c>
      <c r="K817" s="1" t="str">
        <f>"1k"</f>
        <v>1k</v>
      </c>
      <c r="L817" s="1" t="s">
        <v>121</v>
      </c>
      <c r="M817" s="1" t="str">
        <f t="shared" si="119"/>
        <v>-60</v>
      </c>
      <c r="N817" s="1" t="str">
        <f>"-60kg"</f>
        <v>-60kg</v>
      </c>
      <c r="O817" s="1">
        <v>2</v>
      </c>
      <c r="P817" s="1"/>
      <c r="Q817" t="s">
        <v>299</v>
      </c>
    </row>
    <row r="818" spans="1:17" x14ac:dyDescent="0.25">
      <c r="A818" t="str">
        <f>"2018-10-17 20:47:43"</f>
        <v>2018-10-17 20:47:43</v>
      </c>
      <c r="B818" s="1" t="str">
        <f>""</f>
        <v/>
      </c>
      <c r="C818" s="1" t="str">
        <f>"Club de judo Olympique"</f>
        <v>Club de judo Olympique</v>
      </c>
      <c r="D818" s="1" t="str">
        <f>"QC"</f>
        <v>QC</v>
      </c>
      <c r="E818" s="1" t="str">
        <f>"Quebec"</f>
        <v>Quebec</v>
      </c>
      <c r="F818" s="1" t="str">
        <f>"Tyson"</f>
        <v>Tyson</v>
      </c>
      <c r="G818" s="1" t="str">
        <f>"Frezza"</f>
        <v>Frezza</v>
      </c>
      <c r="H818" s="1" t="str">
        <f>"0214140"</f>
        <v>0214140</v>
      </c>
      <c r="I818" s="1" t="str">
        <f t="shared" si="118"/>
        <v>M</v>
      </c>
      <c r="J818" s="2">
        <v>2003</v>
      </c>
      <c r="K818" s="1" t="str">
        <f>"2k"</f>
        <v>2k</v>
      </c>
      <c r="L818" s="1" t="str">
        <f>"U18"</f>
        <v>U18</v>
      </c>
      <c r="M818" s="1" t="str">
        <f t="shared" si="119"/>
        <v>-60</v>
      </c>
      <c r="N818" s="1" t="str">
        <f>""</f>
        <v/>
      </c>
      <c r="O818" s="1">
        <v>1</v>
      </c>
      <c r="P818" s="1"/>
      <c r="Q818" t="s">
        <v>299</v>
      </c>
    </row>
    <row r="819" spans="1:17" x14ac:dyDescent="0.25">
      <c r="A819" t="str">
        <f>"2018-10-18 12:40:17"</f>
        <v>2018-10-18 12:40:17</v>
      </c>
      <c r="B819" s="1" t="str">
        <f>""</f>
        <v/>
      </c>
      <c r="C819" s="1" t="str">
        <f>"Hart Judo Academy"</f>
        <v>Hart Judo Academy</v>
      </c>
      <c r="D819" s="1" t="str">
        <f>"BC"</f>
        <v>BC</v>
      </c>
      <c r="E819" s="1" t="str">
        <f>"British Columbia"</f>
        <v>British Columbia</v>
      </c>
      <c r="F819" s="1" t="str">
        <f>"Ioan"</f>
        <v>Ioan</v>
      </c>
      <c r="G819" s="1" t="str">
        <f>"Frizzell"</f>
        <v>Frizzell</v>
      </c>
      <c r="H819" s="1" t="str">
        <f>"0183079"</f>
        <v>0183079</v>
      </c>
      <c r="I819" s="1" t="str">
        <f t="shared" si="118"/>
        <v>M</v>
      </c>
      <c r="J819" s="2">
        <v>2002</v>
      </c>
      <c r="K819" s="1" t="str">
        <f>"1k"</f>
        <v>1k</v>
      </c>
      <c r="L819" s="1" t="s">
        <v>121</v>
      </c>
      <c r="M819" s="1" t="str">
        <f t="shared" si="119"/>
        <v>-60</v>
      </c>
      <c r="N819" s="1" t="str">
        <f>""</f>
        <v/>
      </c>
      <c r="O819" s="1">
        <v>2</v>
      </c>
      <c r="P819" s="1"/>
      <c r="Q819" t="s">
        <v>299</v>
      </c>
    </row>
    <row r="820" spans="1:17" x14ac:dyDescent="0.25">
      <c r="A820" t="str">
        <f>"2018-10-19 18:53:31"</f>
        <v>2018-10-19 18:53:31</v>
      </c>
      <c r="B820" s="1" t="str">
        <f>""</f>
        <v/>
      </c>
      <c r="C820" s="1" t="str">
        <f>"Club de judo Albatros Inc."</f>
        <v>Club de judo Albatros Inc.</v>
      </c>
      <c r="D820" s="1" t="str">
        <f>"QC"</f>
        <v>QC</v>
      </c>
      <c r="E820" s="1" t="str">
        <f>"Quebec"</f>
        <v>Quebec</v>
      </c>
      <c r="F820" s="1" t="str">
        <f>"Charles-David"</f>
        <v>Charles-David</v>
      </c>
      <c r="G820" s="1" t="str">
        <f>"Gauthier"</f>
        <v>Gauthier</v>
      </c>
      <c r="H820" s="1" t="str">
        <f>"0154904"</f>
        <v>0154904</v>
      </c>
      <c r="I820" s="1" t="str">
        <f t="shared" si="118"/>
        <v>M</v>
      </c>
      <c r="J820" s="2">
        <v>2002</v>
      </c>
      <c r="K820" s="1" t="str">
        <f>"1k"</f>
        <v>1k</v>
      </c>
      <c r="L820" s="1" t="str">
        <f>"U18"</f>
        <v>U18</v>
      </c>
      <c r="M820" s="1" t="str">
        <f t="shared" si="119"/>
        <v>-60</v>
      </c>
      <c r="N820" s="1" t="str">
        <f>""</f>
        <v/>
      </c>
      <c r="O820" s="1">
        <v>1</v>
      </c>
      <c r="P820" s="1"/>
      <c r="Q820" t="s">
        <v>299</v>
      </c>
    </row>
    <row r="821" spans="1:17" x14ac:dyDescent="0.25">
      <c r="A821" t="str">
        <f>"2018-10-21 20:44:11"</f>
        <v>2018-10-21 20:44:11</v>
      </c>
      <c r="B821" s="1" t="str">
        <f>""</f>
        <v/>
      </c>
      <c r="C821" s="1" t="str">
        <f>"Club de judo Rikidokan inc."</f>
        <v>Club de judo Rikidokan inc.</v>
      </c>
      <c r="D821" s="1" t="str">
        <f>"QC"</f>
        <v>QC</v>
      </c>
      <c r="E821" s="1" t="str">
        <f>"Quebec"</f>
        <v>Quebec</v>
      </c>
      <c r="F821" s="1" t="str">
        <f>"Samuel"</f>
        <v>Samuel</v>
      </c>
      <c r="G821" s="1" t="str">
        <f>"Gilbert"</f>
        <v>Gilbert</v>
      </c>
      <c r="H821" s="1" t="str">
        <f>"0171616"</f>
        <v>0171616</v>
      </c>
      <c r="I821" s="1" t="str">
        <f t="shared" si="118"/>
        <v>M</v>
      </c>
      <c r="J821" s="2">
        <v>2002</v>
      </c>
      <c r="K821" s="1" t="str">
        <f>"1k"</f>
        <v>1k</v>
      </c>
      <c r="L821" s="1" t="str">
        <f>"U18"</f>
        <v>U18</v>
      </c>
      <c r="M821" s="1" t="str">
        <f t="shared" si="119"/>
        <v>-60</v>
      </c>
      <c r="N821" s="1" t="str">
        <f>""</f>
        <v/>
      </c>
      <c r="O821" s="1">
        <v>1</v>
      </c>
      <c r="P821" s="1"/>
      <c r="Q821" t="s">
        <v>299</v>
      </c>
    </row>
    <row r="822" spans="1:17" x14ac:dyDescent="0.25">
      <c r="A822" t="str">
        <f>"2018-10-17 23:18:32"</f>
        <v>2018-10-17 23:18:32</v>
      </c>
      <c r="B822" s="1" t="str">
        <f>""</f>
        <v/>
      </c>
      <c r="C822" s="1" t="str">
        <f>"Tsuyoi Judo Club"</f>
        <v>Tsuyoi Judo Club</v>
      </c>
      <c r="D822" s="1" t="str">
        <f>"PE"</f>
        <v>PE</v>
      </c>
      <c r="E822" s="1" t="str">
        <f>"Prince Edward Island"</f>
        <v>Prince Edward Island</v>
      </c>
      <c r="F822" s="1" t="str">
        <f>"Tobias"</f>
        <v>Tobias</v>
      </c>
      <c r="G822" s="1" t="str">
        <f>"Hood"</f>
        <v>Hood</v>
      </c>
      <c r="H822" s="1" t="str">
        <f>"0185034"</f>
        <v>0185034</v>
      </c>
      <c r="I822" s="1" t="str">
        <f t="shared" si="118"/>
        <v>M</v>
      </c>
      <c r="J822" s="2">
        <v>2002</v>
      </c>
      <c r="K822" s="1" t="str">
        <f>"2k"</f>
        <v>2k</v>
      </c>
      <c r="L822" s="1" t="str">
        <f>"U18"</f>
        <v>U18</v>
      </c>
      <c r="M822" s="1" t="str">
        <f t="shared" si="119"/>
        <v>-60</v>
      </c>
      <c r="N822" s="1" t="str">
        <f>""</f>
        <v/>
      </c>
      <c r="O822" s="1">
        <v>1</v>
      </c>
      <c r="P822" s="1"/>
      <c r="Q822" t="s">
        <v>299</v>
      </c>
    </row>
    <row r="823" spans="1:17" x14ac:dyDescent="0.25">
      <c r="A823" t="str">
        <f>"2018-10-24 14:26:07"</f>
        <v>2018-10-24 14:26:07</v>
      </c>
      <c r="B823" s="1" t="str">
        <f>""</f>
        <v/>
      </c>
      <c r="C823" s="1" t="str">
        <f>"Victoria Judo Club"</f>
        <v>Victoria Judo Club</v>
      </c>
      <c r="D823" s="1" t="str">
        <f>"BC"</f>
        <v>BC</v>
      </c>
      <c r="E823" s="1" t="str">
        <f>"British Columbia"</f>
        <v>British Columbia</v>
      </c>
      <c r="F823" s="1" t="str">
        <f>"Joshua"</f>
        <v>Joshua</v>
      </c>
      <c r="G823" s="1" t="str">
        <f>"Kuyvenhoven"</f>
        <v>Kuyvenhoven</v>
      </c>
      <c r="H823" s="1" t="str">
        <f>"0194169"</f>
        <v>0194169</v>
      </c>
      <c r="I823" s="1" t="str">
        <f t="shared" si="118"/>
        <v>M</v>
      </c>
      <c r="J823" s="2">
        <v>2003</v>
      </c>
      <c r="K823" s="1" t="str">
        <f>"2k"</f>
        <v>2k</v>
      </c>
      <c r="L823" s="1" t="str">
        <f>"U18"</f>
        <v>U18</v>
      </c>
      <c r="M823" s="1" t="str">
        <f t="shared" si="119"/>
        <v>-60</v>
      </c>
      <c r="N823" s="1" t="str">
        <f>""</f>
        <v/>
      </c>
      <c r="O823" s="1">
        <v>1</v>
      </c>
      <c r="P823" s="1"/>
      <c r="Q823" t="s">
        <v>299</v>
      </c>
    </row>
    <row r="824" spans="1:17" x14ac:dyDescent="0.25">
      <c r="A824" t="str">
        <f>"2018-10-16 22:24:39"</f>
        <v>2018-10-16 22:24:39</v>
      </c>
      <c r="B824" s="1" t="str">
        <f>""</f>
        <v/>
      </c>
      <c r="C824" s="1" t="str">
        <f>"Club de Judo Shawinigan"</f>
        <v>Club de Judo Shawinigan</v>
      </c>
      <c r="D824" s="1" t="str">
        <f>"QC"</f>
        <v>QC</v>
      </c>
      <c r="E824" s="1" t="str">
        <f>"Quebec"</f>
        <v>Quebec</v>
      </c>
      <c r="F824" s="1" t="str">
        <f>"Jason"</f>
        <v>Jason</v>
      </c>
      <c r="G824" s="1" t="str">
        <f>"Lambert"</f>
        <v>Lambert</v>
      </c>
      <c r="H824" s="1" t="str">
        <f>"0204243"</f>
        <v>0204243</v>
      </c>
      <c r="I824" s="1" t="str">
        <f t="shared" si="118"/>
        <v>M</v>
      </c>
      <c r="J824" s="2">
        <v>2002</v>
      </c>
      <c r="K824" s="1" t="str">
        <f>"2k"</f>
        <v>2k</v>
      </c>
      <c r="L824" s="1" t="str">
        <f>"U18"</f>
        <v>U18</v>
      </c>
      <c r="M824" s="1" t="str">
        <f t="shared" si="119"/>
        <v>-60</v>
      </c>
      <c r="N824" s="1" t="str">
        <f>""</f>
        <v/>
      </c>
      <c r="O824" s="1">
        <v>1</v>
      </c>
      <c r="P824" s="1"/>
      <c r="Q824" t="s">
        <v>299</v>
      </c>
    </row>
    <row r="825" spans="1:17" x14ac:dyDescent="0.25">
      <c r="A825" t="str">
        <f>"2018-10-21 21:45:03"</f>
        <v>2018-10-21 21:45:03</v>
      </c>
      <c r="B825" s="1" t="str">
        <f>""</f>
        <v/>
      </c>
      <c r="C825" s="1" t="str">
        <f>"South Corman Park Judo Club"</f>
        <v>South Corman Park Judo Club</v>
      </c>
      <c r="D825" s="1" t="str">
        <f>"SK"</f>
        <v>SK</v>
      </c>
      <c r="E825" s="1" t="str">
        <f>"Saskatchewan"</f>
        <v>Saskatchewan</v>
      </c>
      <c r="F825" s="1" t="str">
        <f>"Maximus"</f>
        <v>Maximus</v>
      </c>
      <c r="G825" s="1" t="str">
        <f>"Litzenberger"</f>
        <v>Litzenberger</v>
      </c>
      <c r="H825" s="1" t="str">
        <f>"0155106"</f>
        <v>0155106</v>
      </c>
      <c r="I825" s="1" t="str">
        <f t="shared" si="118"/>
        <v>M</v>
      </c>
      <c r="J825" s="2">
        <v>2002</v>
      </c>
      <c r="K825" s="1" t="str">
        <f>"1k"</f>
        <v>1k</v>
      </c>
      <c r="L825" s="1" t="s">
        <v>121</v>
      </c>
      <c r="M825" s="1" t="str">
        <f t="shared" si="119"/>
        <v>-60</v>
      </c>
      <c r="N825" s="1" t="str">
        <f>""</f>
        <v/>
      </c>
      <c r="O825" s="1">
        <v>2</v>
      </c>
      <c r="P825" s="1"/>
      <c r="Q825" t="s">
        <v>299</v>
      </c>
    </row>
    <row r="826" spans="1:17" x14ac:dyDescent="0.25">
      <c r="A826" t="str">
        <f>"2018-10-04 18:22:54"</f>
        <v>2018-10-04 18:22:54</v>
      </c>
      <c r="B826" s="1" t="str">
        <f>""</f>
        <v/>
      </c>
      <c r="C826" s="1" t="str">
        <f>"Rikidokan Judo Club"</f>
        <v>Rikidokan Judo Club</v>
      </c>
      <c r="D826" s="1" t="str">
        <f>"PE"</f>
        <v>PE</v>
      </c>
      <c r="E826" s="1" t="str">
        <f>"Prince Edward Island"</f>
        <v>Prince Edward Island</v>
      </c>
      <c r="F826" s="1" t="str">
        <f>"Liam"</f>
        <v>Liam</v>
      </c>
      <c r="G826" s="1" t="str">
        <f>"MacDonald"</f>
        <v>MacDonald</v>
      </c>
      <c r="H826" s="1" t="str">
        <f>"0224597"</f>
        <v>0224597</v>
      </c>
      <c r="I826" s="1" t="str">
        <f t="shared" si="118"/>
        <v>M</v>
      </c>
      <c r="J826" s="2">
        <v>2002</v>
      </c>
      <c r="K826" s="1" t="str">
        <f>"3k"</f>
        <v>3k</v>
      </c>
      <c r="L826" s="1" t="str">
        <f>"U18"</f>
        <v>U18</v>
      </c>
      <c r="M826" s="1" t="str">
        <f t="shared" si="119"/>
        <v>-60</v>
      </c>
      <c r="N826" s="1" t="str">
        <f>""</f>
        <v/>
      </c>
      <c r="O826" s="1">
        <v>1</v>
      </c>
      <c r="P826" s="1"/>
      <c r="Q826" t="s">
        <v>299</v>
      </c>
    </row>
    <row r="827" spans="1:17" x14ac:dyDescent="0.25">
      <c r="A827" t="str">
        <f>"2018-10-17 20:47:43"</f>
        <v>2018-10-17 20:47:43</v>
      </c>
      <c r="B827" s="1" t="str">
        <f>""</f>
        <v/>
      </c>
      <c r="C827" s="1" t="str">
        <f>"Upper Canada Judo Club"</f>
        <v>Upper Canada Judo Club</v>
      </c>
      <c r="D827" s="1" t="str">
        <f>"ON"</f>
        <v>ON</v>
      </c>
      <c r="E827" s="1" t="str">
        <f>"Ontario"</f>
        <v>Ontario</v>
      </c>
      <c r="F827" s="1" t="str">
        <f>"Daniel"</f>
        <v>Daniel</v>
      </c>
      <c r="G827" s="1" t="str">
        <f>"McCristall"</f>
        <v>McCristall</v>
      </c>
      <c r="H827" s="1" t="str">
        <f>"0166255"</f>
        <v>0166255</v>
      </c>
      <c r="I827" s="1" t="str">
        <f t="shared" si="118"/>
        <v>M</v>
      </c>
      <c r="J827" s="2">
        <v>2002</v>
      </c>
      <c r="K827" s="1" t="str">
        <f>"1D"</f>
        <v>1D</v>
      </c>
      <c r="L827" s="1" t="s">
        <v>121</v>
      </c>
      <c r="M827" s="1" t="str">
        <f t="shared" si="119"/>
        <v>-60</v>
      </c>
      <c r="N827" s="1" t="str">
        <f>""</f>
        <v/>
      </c>
      <c r="O827" s="1">
        <v>2</v>
      </c>
      <c r="P827" s="1"/>
      <c r="Q827" t="s">
        <v>299</v>
      </c>
    </row>
    <row r="828" spans="1:17" x14ac:dyDescent="0.25">
      <c r="A828" t="str">
        <f>"2018-10-16 22:24:39"</f>
        <v>2018-10-16 22:24:39</v>
      </c>
      <c r="B828" s="1" t="str">
        <f>""</f>
        <v/>
      </c>
      <c r="C828" s="1" t="str">
        <f>"Takahashi Dojo"</f>
        <v>Takahashi Dojo</v>
      </c>
      <c r="D828" s="1" t="str">
        <f>"ON"</f>
        <v>ON</v>
      </c>
      <c r="E828" s="1" t="str">
        <f>"Ontario"</f>
        <v>Ontario</v>
      </c>
      <c r="F828" s="1" t="str">
        <f>"Finn"</f>
        <v>Finn</v>
      </c>
      <c r="G828" s="1" t="str">
        <f>"Nakamura"</f>
        <v>Nakamura</v>
      </c>
      <c r="H828" s="1" t="str">
        <f>"0198447"</f>
        <v>0198447</v>
      </c>
      <c r="I828" s="1" t="str">
        <f t="shared" si="118"/>
        <v>M</v>
      </c>
      <c r="J828" s="2">
        <v>2004</v>
      </c>
      <c r="K828" s="1" t="str">
        <f>"1k"</f>
        <v>1k</v>
      </c>
      <c r="L828" s="1" t="s">
        <v>121</v>
      </c>
      <c r="M828" s="1" t="str">
        <f t="shared" si="119"/>
        <v>-60</v>
      </c>
      <c r="N828" s="1" t="str">
        <f>""</f>
        <v/>
      </c>
      <c r="O828" s="1">
        <v>2</v>
      </c>
      <c r="P828" s="1"/>
      <c r="Q828" t="s">
        <v>299</v>
      </c>
    </row>
    <row r="829" spans="1:17" x14ac:dyDescent="0.25">
      <c r="A829" t="str">
        <f>"2018-10-06 12:09:40"</f>
        <v>2018-10-06 12:09:40</v>
      </c>
      <c r="B829" s="1" t="str">
        <f>""</f>
        <v/>
      </c>
      <c r="C829" s="1" t="str">
        <f>"Kodokwai Judo Club"</f>
        <v>Kodokwai Judo Club</v>
      </c>
      <c r="D829" s="1" t="str">
        <f>"AB"</f>
        <v>AB</v>
      </c>
      <c r="E829" s="1" t="str">
        <f>"Alberta"</f>
        <v>Alberta</v>
      </c>
      <c r="F829" s="1" t="str">
        <f>"Seth"</f>
        <v>Seth</v>
      </c>
      <c r="G829" s="1" t="str">
        <f>"Nobert"</f>
        <v>Nobert</v>
      </c>
      <c r="H829" s="1" t="str">
        <f>"0203513"</f>
        <v>0203513</v>
      </c>
      <c r="I829" s="1" t="str">
        <f t="shared" si="118"/>
        <v>M</v>
      </c>
      <c r="J829" s="2">
        <v>2002</v>
      </c>
      <c r="K829" s="1" t="str">
        <f>"2k"</f>
        <v>2k</v>
      </c>
      <c r="L829" s="1" t="s">
        <v>121</v>
      </c>
      <c r="M829" s="1" t="str">
        <f t="shared" si="119"/>
        <v>-60</v>
      </c>
      <c r="N829" s="1" t="str">
        <f>""</f>
        <v/>
      </c>
      <c r="O829" s="1">
        <v>2</v>
      </c>
      <c r="P829" s="1"/>
      <c r="Q829" t="s">
        <v>299</v>
      </c>
    </row>
    <row r="830" spans="1:17" x14ac:dyDescent="0.25">
      <c r="A830" t="str">
        <f>"2018-10-19 16:52:57"</f>
        <v>2018-10-19 16:52:57</v>
      </c>
      <c r="B830" s="1" t="str">
        <f>""</f>
        <v/>
      </c>
      <c r="C830" s="1" t="str">
        <f>"Club de Judo d'Asbestos-Danville"</f>
        <v>Club de Judo d'Asbestos-Danville</v>
      </c>
      <c r="D830" s="1" t="str">
        <f>"QC"</f>
        <v>QC</v>
      </c>
      <c r="E830" s="1" t="str">
        <f>"Quebec"</f>
        <v>Quebec</v>
      </c>
      <c r="F830" s="1" t="str">
        <f>"Olivier"</f>
        <v>Olivier</v>
      </c>
      <c r="G830" s="1" t="str">
        <f>"Ostigny"</f>
        <v>Ostigny</v>
      </c>
      <c r="H830" s="1" t="str">
        <f>"0189115"</f>
        <v>0189115</v>
      </c>
      <c r="I830" s="1" t="str">
        <f t="shared" si="118"/>
        <v>M</v>
      </c>
      <c r="J830" s="2">
        <v>2004</v>
      </c>
      <c r="K830" s="1" t="str">
        <f>"2k+"</f>
        <v>2k+</v>
      </c>
      <c r="L830" s="1" t="s">
        <v>121</v>
      </c>
      <c r="M830" s="1" t="str">
        <f t="shared" si="119"/>
        <v>-60</v>
      </c>
      <c r="N830" s="1" t="str">
        <f>""</f>
        <v/>
      </c>
      <c r="O830" s="1">
        <v>2</v>
      </c>
      <c r="P830" s="1"/>
      <c r="Q830" t="s">
        <v>299</v>
      </c>
    </row>
    <row r="831" spans="1:17" x14ac:dyDescent="0.25">
      <c r="A831" t="str">
        <f>"2018-10-15 20:46:12"</f>
        <v>2018-10-15 20:46:12</v>
      </c>
      <c r="B831" s="1" t="str">
        <f>""</f>
        <v/>
      </c>
      <c r="C831" s="1" t="str">
        <f>"Hart Judo Academy"</f>
        <v>Hart Judo Academy</v>
      </c>
      <c r="D831" s="1" t="str">
        <f>"BC"</f>
        <v>BC</v>
      </c>
      <c r="E831" s="1" t="str">
        <f>"British Columbia"</f>
        <v>British Columbia</v>
      </c>
      <c r="F831" s="1" t="str">
        <f>"Gabriel"</f>
        <v>Gabriel</v>
      </c>
      <c r="G831" s="1" t="str">
        <f>"Paterson"</f>
        <v>Paterson</v>
      </c>
      <c r="H831" s="1" t="str">
        <f>"0182777"</f>
        <v>0182777</v>
      </c>
      <c r="I831" s="1" t="str">
        <f t="shared" si="118"/>
        <v>M</v>
      </c>
      <c r="J831" s="2">
        <v>2004</v>
      </c>
      <c r="K831" s="1" t="str">
        <f>"2k"</f>
        <v>2k</v>
      </c>
      <c r="L831" s="1" t="s">
        <v>121</v>
      </c>
      <c r="M831" s="1" t="str">
        <f t="shared" si="119"/>
        <v>-60</v>
      </c>
      <c r="N831" s="1" t="str">
        <f>""</f>
        <v/>
      </c>
      <c r="O831" s="1">
        <v>2</v>
      </c>
      <c r="P831" s="1"/>
      <c r="Q831" t="s">
        <v>299</v>
      </c>
    </row>
    <row r="832" spans="1:17" x14ac:dyDescent="0.25">
      <c r="A832" t="str">
        <f>"2018-10-11 13:39:30"</f>
        <v>2018-10-11 13:39:30</v>
      </c>
      <c r="B832" s="1" t="str">
        <f>""</f>
        <v/>
      </c>
      <c r="C832" s="1" t="str">
        <f>"Club judokas Jonquière inc."</f>
        <v>Club judokas Jonquière inc.</v>
      </c>
      <c r="D832" s="1" t="str">
        <f>"QC"</f>
        <v>QC</v>
      </c>
      <c r="E832" s="1" t="str">
        <f>"Quebec"</f>
        <v>Quebec</v>
      </c>
      <c r="F832" s="1" t="str">
        <f>"Xavier"</f>
        <v>Xavier</v>
      </c>
      <c r="G832" s="1" t="str">
        <f>"Perron"</f>
        <v>Perron</v>
      </c>
      <c r="H832" s="1" t="str">
        <f>"0145339"</f>
        <v>0145339</v>
      </c>
      <c r="I832" s="1" t="str">
        <f t="shared" si="118"/>
        <v>M</v>
      </c>
      <c r="J832" s="2">
        <v>2002</v>
      </c>
      <c r="K832" s="1" t="str">
        <f>"1k"</f>
        <v>1k</v>
      </c>
      <c r="L832" s="1" t="str">
        <f>"U18"</f>
        <v>U18</v>
      </c>
      <c r="M832" s="1" t="str">
        <f t="shared" si="119"/>
        <v>-60</v>
      </c>
      <c r="N832" s="1" t="str">
        <f>""</f>
        <v/>
      </c>
      <c r="O832" s="1">
        <v>1</v>
      </c>
      <c r="P832" s="1"/>
      <c r="Q832" t="s">
        <v>299</v>
      </c>
    </row>
    <row r="833" spans="1:17" x14ac:dyDescent="0.25">
      <c r="A833" t="str">
        <f>"2018-10-06 12:09:40"</f>
        <v>2018-10-06 12:09:40</v>
      </c>
      <c r="B833" s="1" t="str">
        <f>""</f>
        <v/>
      </c>
      <c r="C833" s="1" t="str">
        <f>"Club de judo de la vieille capitale"</f>
        <v>Club de judo de la vieille capitale</v>
      </c>
      <c r="D833" s="1" t="str">
        <f>"QC"</f>
        <v>QC</v>
      </c>
      <c r="E833" s="1" t="str">
        <f>"Quebec"</f>
        <v>Quebec</v>
      </c>
      <c r="F833" s="1" t="str">
        <f>"Pierre-Henry"</f>
        <v>Pierre-Henry</v>
      </c>
      <c r="G833" s="1" t="str">
        <f>"Quiedeville"</f>
        <v>Quiedeville</v>
      </c>
      <c r="H833" s="1" t="str">
        <f>"0223464"</f>
        <v>0223464</v>
      </c>
      <c r="I833" s="1" t="str">
        <f t="shared" si="118"/>
        <v>M</v>
      </c>
      <c r="J833" s="2">
        <v>2002</v>
      </c>
      <c r="K833" s="1" t="str">
        <f>"1D"</f>
        <v>1D</v>
      </c>
      <c r="L833" s="1" t="str">
        <f>"U18"</f>
        <v>U18</v>
      </c>
      <c r="M833" s="1" t="str">
        <f t="shared" si="119"/>
        <v>-60</v>
      </c>
      <c r="N833" s="1" t="str">
        <f>""</f>
        <v/>
      </c>
      <c r="O833" s="1">
        <v>1</v>
      </c>
      <c r="P833" s="1"/>
      <c r="Q833" t="s">
        <v>299</v>
      </c>
    </row>
    <row r="834" spans="1:17" x14ac:dyDescent="0.25">
      <c r="A834" t="str">
        <f>"2018-10-24 14:26:07"</f>
        <v>2018-10-24 14:26:07</v>
      </c>
      <c r="B834" s="1" t="str">
        <f>""</f>
        <v/>
      </c>
      <c r="C834" s="1" t="str">
        <f>"Ki-itsu-sai National Training Center"</f>
        <v>Ki-itsu-sai National Training Center</v>
      </c>
      <c r="D834" s="1" t="s">
        <v>106</v>
      </c>
      <c r="E834" s="1" t="str">
        <f>"Florida/ US"</f>
        <v>Florida/ US</v>
      </c>
      <c r="F834" s="1" t="str">
        <f>"Dominic"</f>
        <v>Dominic</v>
      </c>
      <c r="G834" s="1" t="str">
        <f>"Rodriguez"</f>
        <v>Rodriguez</v>
      </c>
      <c r="H834" s="1" t="str">
        <f>"AutreFederation"</f>
        <v>AutreFederation</v>
      </c>
      <c r="I834" s="1" t="str">
        <f t="shared" si="118"/>
        <v>M</v>
      </c>
      <c r="J834" s="2">
        <v>2004</v>
      </c>
      <c r="K834" s="1" t="str">
        <f>"1D"</f>
        <v>1D</v>
      </c>
      <c r="L834" s="1" t="s">
        <v>121</v>
      </c>
      <c r="M834" s="1" t="str">
        <f t="shared" si="119"/>
        <v>-60</v>
      </c>
      <c r="N834" s="1" t="str">
        <f>"60kg"</f>
        <v>60kg</v>
      </c>
      <c r="O834" s="1">
        <v>2</v>
      </c>
      <c r="P834" s="1"/>
      <c r="Q834" t="s">
        <v>299</v>
      </c>
    </row>
    <row r="835" spans="1:17" x14ac:dyDescent="0.25">
      <c r="A835" t="str">
        <f>"2018-10-04 18:22:54"</f>
        <v>2018-10-04 18:22:54</v>
      </c>
      <c r="B835" s="1" t="str">
        <f>""</f>
        <v/>
      </c>
      <c r="C835" s="1" t="str">
        <f>"Shin Bu Kan Judo"</f>
        <v>Shin Bu Kan Judo</v>
      </c>
      <c r="D835" s="1" t="str">
        <f>"BC"</f>
        <v>BC</v>
      </c>
      <c r="E835" s="1" t="str">
        <f>"Ontario"</f>
        <v>Ontario</v>
      </c>
      <c r="F835" s="1" t="str">
        <f>"Adrian"</f>
        <v>Adrian</v>
      </c>
      <c r="G835" s="1" t="str">
        <f>"Shimabukuro"</f>
        <v>Shimabukuro</v>
      </c>
      <c r="H835" s="1" t="str">
        <f>"0152402"</f>
        <v>0152402</v>
      </c>
      <c r="I835" s="1" t="str">
        <f t="shared" si="118"/>
        <v>M</v>
      </c>
      <c r="J835" s="2">
        <v>2002</v>
      </c>
      <c r="K835" s="1" t="str">
        <f>"1k"</f>
        <v>1k</v>
      </c>
      <c r="L835" s="1" t="str">
        <f>"U18"</f>
        <v>U18</v>
      </c>
      <c r="M835" s="1" t="str">
        <f t="shared" si="119"/>
        <v>-60</v>
      </c>
      <c r="N835" s="1" t="str">
        <f>""</f>
        <v/>
      </c>
      <c r="O835" s="1">
        <v>1</v>
      </c>
      <c r="P835" s="1"/>
      <c r="Q835" t="s">
        <v>299</v>
      </c>
    </row>
    <row r="836" spans="1:17" x14ac:dyDescent="0.25">
      <c r="A836" t="str">
        <f>"2018-10-25 10:21:44"</f>
        <v>2018-10-25 10:21:44</v>
      </c>
      <c r="B836" s="1" t="str">
        <f>""</f>
        <v/>
      </c>
      <c r="C836" s="1" t="str">
        <f>"Club de judo Seiko"</f>
        <v>Club de judo Seiko</v>
      </c>
      <c r="D836" s="1" t="str">
        <f>"QC"</f>
        <v>QC</v>
      </c>
      <c r="E836" s="1" t="str">
        <f>"Quebec"</f>
        <v>Quebec</v>
      </c>
      <c r="F836" s="1" t="str">
        <f>"Isaak"</f>
        <v>Isaak</v>
      </c>
      <c r="G836" s="1" t="str">
        <f>"St-Hilaire"</f>
        <v>St-Hilaire</v>
      </c>
      <c r="H836" s="1" t="str">
        <f>"0142363"</f>
        <v>0142363</v>
      </c>
      <c r="I836" s="1" t="str">
        <f t="shared" si="118"/>
        <v>M</v>
      </c>
      <c r="J836" s="2">
        <v>2002</v>
      </c>
      <c r="K836" s="1" t="str">
        <f>"1D"</f>
        <v>1D</v>
      </c>
      <c r="L836" s="1" t="s">
        <v>121</v>
      </c>
      <c r="M836" s="1" t="str">
        <f t="shared" si="119"/>
        <v>-60</v>
      </c>
      <c r="N836" s="1" t="str">
        <f>""</f>
        <v/>
      </c>
      <c r="O836" s="1">
        <v>2</v>
      </c>
      <c r="P836" s="1"/>
      <c r="Q836" t="s">
        <v>299</v>
      </c>
    </row>
    <row r="837" spans="1:17" x14ac:dyDescent="0.25">
      <c r="A837" t="str">
        <f>"2018-10-21 20:44:11"</f>
        <v>2018-10-21 20:44:11</v>
      </c>
      <c r="B837" s="1" t="str">
        <f>""</f>
        <v/>
      </c>
      <c r="C837" s="1" t="str">
        <f>"Judo Blainville"</f>
        <v>Judo Blainville</v>
      </c>
      <c r="D837" s="1" t="str">
        <f>"QC"</f>
        <v>QC</v>
      </c>
      <c r="E837" s="1" t="str">
        <f>"Quebec"</f>
        <v>Quebec</v>
      </c>
      <c r="F837" s="1" t="str">
        <f>"Philippe"</f>
        <v>Philippe</v>
      </c>
      <c r="G837" s="1" t="str">
        <f>"Thibodeau"</f>
        <v>Thibodeau</v>
      </c>
      <c r="H837" s="1" t="str">
        <f>"0158906"</f>
        <v>0158906</v>
      </c>
      <c r="I837" s="1" t="str">
        <f t="shared" si="118"/>
        <v>M</v>
      </c>
      <c r="J837" s="2">
        <v>2003</v>
      </c>
      <c r="K837" s="1" t="str">
        <f>"1k"</f>
        <v>1k</v>
      </c>
      <c r="L837" s="1" t="str">
        <f>"U18"</f>
        <v>U18</v>
      </c>
      <c r="M837" s="1" t="str">
        <f t="shared" si="119"/>
        <v>-60</v>
      </c>
      <c r="N837" s="1" t="str">
        <f>""</f>
        <v/>
      </c>
      <c r="O837" s="1">
        <v>1</v>
      </c>
      <c r="P837" s="1"/>
      <c r="Q837" t="s">
        <v>299</v>
      </c>
    </row>
    <row r="838" spans="1:17" x14ac:dyDescent="0.25">
      <c r="A838" t="str">
        <f>"2018-10-06 12:09:40"</f>
        <v>2018-10-06 12:09:40</v>
      </c>
      <c r="B838" s="1" t="str">
        <f>""</f>
        <v/>
      </c>
      <c r="C838" s="1" t="str">
        <f>"Kokushikai Judo"</f>
        <v>Kokushikai Judo</v>
      </c>
      <c r="D838" s="1" t="str">
        <f>"BC"</f>
        <v>BC</v>
      </c>
      <c r="E838" s="1" t="str">
        <f>"British Columbia"</f>
        <v>British Columbia</v>
      </c>
      <c r="F838" s="1" t="str">
        <f>"Brendan"</f>
        <v>Brendan</v>
      </c>
      <c r="G838" s="1" t="str">
        <f>"Wong"</f>
        <v>Wong</v>
      </c>
      <c r="H838" s="1" t="str">
        <f>"0199246"</f>
        <v>0199246</v>
      </c>
      <c r="I838" s="1" t="str">
        <f t="shared" si="118"/>
        <v>M</v>
      </c>
      <c r="J838" s="2">
        <v>2004</v>
      </c>
      <c r="K838" s="1" t="str">
        <f>"2k"</f>
        <v>2k</v>
      </c>
      <c r="L838" s="1" t="s">
        <v>121</v>
      </c>
      <c r="M838" s="1" t="str">
        <f t="shared" si="119"/>
        <v>-60</v>
      </c>
      <c r="N838" s="1" t="str">
        <f>""</f>
        <v/>
      </c>
      <c r="O838" s="1">
        <v>2</v>
      </c>
      <c r="P838" s="1"/>
      <c r="Q838" t="s">
        <v>299</v>
      </c>
    </row>
    <row r="839" spans="1:17" x14ac:dyDescent="0.25">
      <c r="A839" t="str">
        <f>"2018-10-25 17:41:07"</f>
        <v>2018-10-25 17:41:07</v>
      </c>
      <c r="B839" s="1" t="str">
        <f>""</f>
        <v/>
      </c>
      <c r="C839" s="1" t="str">
        <f>"Valley Judo Institute"</f>
        <v>Valley Judo Institute</v>
      </c>
      <c r="D839" s="1" t="s">
        <v>106</v>
      </c>
      <c r="E839" s="1" t="str">
        <f>"United States"</f>
        <v>United States</v>
      </c>
      <c r="F839" s="1" t="str">
        <f>"Telman"</f>
        <v>Telman</v>
      </c>
      <c r="G839" s="1" t="str">
        <f>"Yegiazaryan"</f>
        <v>Yegiazaryan</v>
      </c>
      <c r="H839" s="1" t="str">
        <f>"AutreFederation"</f>
        <v>AutreFederation</v>
      </c>
      <c r="I839" s="1" t="str">
        <f t="shared" si="118"/>
        <v>M</v>
      </c>
      <c r="J839" s="2">
        <v>2002</v>
      </c>
      <c r="K839" s="1" t="s">
        <v>158</v>
      </c>
      <c r="L839" s="1" t="s">
        <v>121</v>
      </c>
      <c r="M839" s="1" t="str">
        <f t="shared" si="119"/>
        <v>-60</v>
      </c>
      <c r="N839" s="1" t="str">
        <f>"60kg"</f>
        <v>60kg</v>
      </c>
      <c r="O839" s="1">
        <v>2</v>
      </c>
      <c r="P839" s="1"/>
      <c r="Q839" t="s">
        <v>299</v>
      </c>
    </row>
    <row r="840" spans="1:17" x14ac:dyDescent="0.25">
      <c r="A840" t="str">
        <f>"2018-10-17 23:18:32"</f>
        <v>2018-10-17 23:18:32</v>
      </c>
      <c r="B840" s="1" t="str">
        <f>""</f>
        <v/>
      </c>
      <c r="C840" s="1" t="str">
        <f>"Cranford JKC"</f>
        <v>Cranford JKC</v>
      </c>
      <c r="D840" s="1" t="s">
        <v>106</v>
      </c>
      <c r="E840" s="1" t="str">
        <f>"NJ"</f>
        <v>NJ</v>
      </c>
      <c r="F840" s="1" t="str">
        <f>"Jack"</f>
        <v>Jack</v>
      </c>
      <c r="G840" s="1" t="str">
        <f>"Yonezuka"</f>
        <v>Yonezuka</v>
      </c>
      <c r="H840" s="1" t="str">
        <f>"AutreFederation"</f>
        <v>AutreFederation</v>
      </c>
      <c r="I840" s="1" t="str">
        <f t="shared" si="118"/>
        <v>M</v>
      </c>
      <c r="J840" s="2">
        <v>2003</v>
      </c>
      <c r="K840" s="1" t="str">
        <f t="shared" ref="K840:K846" si="120">"1k"</f>
        <v>1k</v>
      </c>
      <c r="L840" s="1" t="str">
        <f>"U18"</f>
        <v>U18</v>
      </c>
      <c r="M840" s="1" t="str">
        <f t="shared" si="119"/>
        <v>-60</v>
      </c>
      <c r="N840" s="1" t="str">
        <f>""</f>
        <v/>
      </c>
      <c r="O840" s="1">
        <v>1</v>
      </c>
      <c r="P840" s="1"/>
      <c r="Q840" t="s">
        <v>299</v>
      </c>
    </row>
    <row r="841" spans="1:17" x14ac:dyDescent="0.25">
      <c r="A841" t="str">
        <f>"2018-10-02 21:24:14"</f>
        <v>2018-10-02 21:24:14</v>
      </c>
      <c r="B841" s="1" t="str">
        <f>""</f>
        <v/>
      </c>
      <c r="C841" s="1" t="str">
        <f>"Tora Judo Club"</f>
        <v>Tora Judo Club</v>
      </c>
      <c r="D841" s="1" t="str">
        <f>"ON"</f>
        <v>ON</v>
      </c>
      <c r="E841" s="1" t="str">
        <f>"Ontario"</f>
        <v>Ontario</v>
      </c>
      <c r="F841" s="1" t="str">
        <f>"Deanna"</f>
        <v>Deanna</v>
      </c>
      <c r="G841" s="1" t="str">
        <f>"Barnes"</f>
        <v>Barnes</v>
      </c>
      <c r="H841" s="1" t="str">
        <f>"0193328"</f>
        <v>0193328</v>
      </c>
      <c r="I841" s="1" t="str">
        <f t="shared" ref="I841:I857" si="121">"F"</f>
        <v>F</v>
      </c>
      <c r="J841" s="2">
        <v>2002</v>
      </c>
      <c r="K841" s="1" t="str">
        <f t="shared" si="120"/>
        <v>1k</v>
      </c>
      <c r="L841" s="1" t="s">
        <v>121</v>
      </c>
      <c r="M841" s="1" t="str">
        <f t="shared" ref="M841:M857" si="122">"-63"</f>
        <v>-63</v>
      </c>
      <c r="N841" s="1" t="str">
        <f>""</f>
        <v/>
      </c>
      <c r="O841" s="1">
        <v>2</v>
      </c>
      <c r="P841" s="1"/>
      <c r="Q841" t="s">
        <v>300</v>
      </c>
    </row>
    <row r="842" spans="1:17" x14ac:dyDescent="0.25">
      <c r="A842" t="str">
        <f>"2018-10-23 22:32:57"</f>
        <v>2018-10-23 22:32:57</v>
      </c>
      <c r="B842" s="1" t="str">
        <f>""</f>
        <v/>
      </c>
      <c r="C842" s="1" t="str">
        <f>"Club de judo de Varennes"</f>
        <v>Club de judo de Varennes</v>
      </c>
      <c r="D842" s="1" t="str">
        <f>"QC"</f>
        <v>QC</v>
      </c>
      <c r="E842" s="1" t="str">
        <f>"Quebec"</f>
        <v>Quebec</v>
      </c>
      <c r="F842" s="1" t="str">
        <f>"Laurence"</f>
        <v>Laurence</v>
      </c>
      <c r="G842" s="1" t="str">
        <f>"Biron"</f>
        <v>Biron</v>
      </c>
      <c r="H842" s="1" t="str">
        <f>"0172969"</f>
        <v>0172969</v>
      </c>
      <c r="I842" s="1" t="str">
        <f t="shared" si="121"/>
        <v>F</v>
      </c>
      <c r="J842" s="2">
        <v>2003</v>
      </c>
      <c r="K842" s="1" t="str">
        <f t="shared" si="120"/>
        <v>1k</v>
      </c>
      <c r="L842" s="1" t="str">
        <f>"U18"</f>
        <v>U18</v>
      </c>
      <c r="M842" s="1" t="str">
        <f t="shared" si="122"/>
        <v>-63</v>
      </c>
      <c r="N842" s="1" t="str">
        <f>""</f>
        <v/>
      </c>
      <c r="O842" s="1">
        <v>1</v>
      </c>
      <c r="P842" s="1"/>
      <c r="Q842" t="s">
        <v>300</v>
      </c>
    </row>
    <row r="843" spans="1:17" x14ac:dyDescent="0.25">
      <c r="A843" t="str">
        <f>"2018-10-23 22:32:57"</f>
        <v>2018-10-23 22:32:57</v>
      </c>
      <c r="B843" s="1" t="str">
        <f>""</f>
        <v/>
      </c>
      <c r="C843" s="1" t="str">
        <f>"Dojo Perrot Shima"</f>
        <v>Dojo Perrot Shima</v>
      </c>
      <c r="D843" s="1" t="str">
        <f>"QC"</f>
        <v>QC</v>
      </c>
      <c r="E843" s="1" t="str">
        <f>"Quebec"</f>
        <v>Quebec</v>
      </c>
      <c r="F843" s="1" t="str">
        <f>"Myriam"</f>
        <v>Myriam</v>
      </c>
      <c r="G843" s="1" t="str">
        <f>"Brazeau"</f>
        <v>Brazeau</v>
      </c>
      <c r="H843" s="1" t="str">
        <f>"0227723"</f>
        <v>0227723</v>
      </c>
      <c r="I843" s="1" t="str">
        <f t="shared" si="121"/>
        <v>F</v>
      </c>
      <c r="J843" s="2">
        <v>2003</v>
      </c>
      <c r="K843" s="1" t="str">
        <f t="shared" si="120"/>
        <v>1k</v>
      </c>
      <c r="L843" s="1" t="s">
        <v>121</v>
      </c>
      <c r="M843" s="1" t="str">
        <f t="shared" si="122"/>
        <v>-63</v>
      </c>
      <c r="N843" s="1" t="str">
        <f>""</f>
        <v/>
      </c>
      <c r="O843" s="1">
        <v>2</v>
      </c>
      <c r="P843" s="1"/>
      <c r="Q843" t="s">
        <v>300</v>
      </c>
    </row>
    <row r="844" spans="1:17" x14ac:dyDescent="0.25">
      <c r="A844" t="str">
        <f>"2018-10-21 15:09:53"</f>
        <v>2018-10-21 15:09:53</v>
      </c>
      <c r="B844" s="1" t="str">
        <f>""</f>
        <v/>
      </c>
      <c r="C844" s="1" t="str">
        <f>"Club Kimo"</f>
        <v>Club Kimo</v>
      </c>
      <c r="D844" s="1" t="str">
        <f>"NB"</f>
        <v>NB</v>
      </c>
      <c r="E844" s="1" t="str">
        <f>"New Brunswick"</f>
        <v>New Brunswick</v>
      </c>
      <c r="F844" s="1" t="str">
        <f>"Vanessa"</f>
        <v>Vanessa</v>
      </c>
      <c r="G844" s="1" t="str">
        <f>"Caouette"</f>
        <v>Caouette</v>
      </c>
      <c r="H844" s="1" t="str">
        <f>"0210777"</f>
        <v>0210777</v>
      </c>
      <c r="I844" s="1" t="str">
        <f t="shared" si="121"/>
        <v>F</v>
      </c>
      <c r="J844" s="2">
        <v>2002</v>
      </c>
      <c r="K844" s="1" t="str">
        <f t="shared" si="120"/>
        <v>1k</v>
      </c>
      <c r="L844" s="1" t="str">
        <f>"U18"</f>
        <v>U18</v>
      </c>
      <c r="M844" s="1" t="str">
        <f t="shared" si="122"/>
        <v>-63</v>
      </c>
      <c r="N844" s="1" t="str">
        <f>""</f>
        <v/>
      </c>
      <c r="O844" s="1">
        <v>1</v>
      </c>
      <c r="P844" s="1"/>
      <c r="Q844" t="s">
        <v>300</v>
      </c>
    </row>
    <row r="845" spans="1:17" x14ac:dyDescent="0.25">
      <c r="A845" t="str">
        <f>"2018-10-19 17:43:48"</f>
        <v>2018-10-19 17:43:48</v>
      </c>
      <c r="B845" s="1" t="str">
        <f>""</f>
        <v/>
      </c>
      <c r="C845" s="1" t="str">
        <f>"Upper Canada Judo Club"</f>
        <v>Upper Canada Judo Club</v>
      </c>
      <c r="D845" s="1" t="str">
        <f>"ON"</f>
        <v>ON</v>
      </c>
      <c r="E845" s="1" t="str">
        <f>"Ontario"</f>
        <v>Ontario</v>
      </c>
      <c r="F845" s="1" t="str">
        <f>"Amber-Jane"</f>
        <v>Amber-Jane</v>
      </c>
      <c r="G845" s="1" t="str">
        <f>"Francis"</f>
        <v>Francis</v>
      </c>
      <c r="H845" s="1" t="str">
        <f>"0165950"</f>
        <v>0165950</v>
      </c>
      <c r="I845" s="1" t="str">
        <f t="shared" si="121"/>
        <v>F</v>
      </c>
      <c r="J845" s="2">
        <v>2002</v>
      </c>
      <c r="K845" s="1" t="str">
        <f t="shared" si="120"/>
        <v>1k</v>
      </c>
      <c r="L845" s="1" t="str">
        <f>"U18"</f>
        <v>U18</v>
      </c>
      <c r="M845" s="1" t="str">
        <f t="shared" si="122"/>
        <v>-63</v>
      </c>
      <c r="N845" s="1" t="str">
        <f>""</f>
        <v/>
      </c>
      <c r="O845" s="1">
        <v>1</v>
      </c>
      <c r="P845" s="1"/>
      <c r="Q845" t="s">
        <v>300</v>
      </c>
    </row>
    <row r="846" spans="1:17" x14ac:dyDescent="0.25">
      <c r="A846" t="str">
        <f>"2018-10-15 23:02:21"</f>
        <v>2018-10-15 23:02:21</v>
      </c>
      <c r="B846" s="1" t="str">
        <f>""</f>
        <v/>
      </c>
      <c r="C846" s="1" t="str">
        <f>"Hiro's Judo Club"</f>
        <v>Hiro's Judo Club</v>
      </c>
      <c r="D846" s="1" t="str">
        <f>"AB"</f>
        <v>AB</v>
      </c>
      <c r="E846" s="1" t="str">
        <f>"Alberta"</f>
        <v>Alberta</v>
      </c>
      <c r="F846" s="1" t="str">
        <f>"Greta"</f>
        <v>Greta</v>
      </c>
      <c r="G846" s="1" t="str">
        <f>"Goasdoue-Wallace"</f>
        <v>Goasdoue-Wallace</v>
      </c>
      <c r="H846" s="1" t="str">
        <f>"0182070"</f>
        <v>0182070</v>
      </c>
      <c r="I846" s="1" t="str">
        <f t="shared" si="121"/>
        <v>F</v>
      </c>
      <c r="J846" s="2">
        <v>2004</v>
      </c>
      <c r="K846" s="1" t="str">
        <f t="shared" si="120"/>
        <v>1k</v>
      </c>
      <c r="L846" s="1" t="s">
        <v>121</v>
      </c>
      <c r="M846" s="1" t="str">
        <f t="shared" si="122"/>
        <v>-63</v>
      </c>
      <c r="N846" s="1" t="str">
        <f>""</f>
        <v/>
      </c>
      <c r="O846" s="1">
        <v>2</v>
      </c>
      <c r="P846" s="1"/>
      <c r="Q846" t="s">
        <v>300</v>
      </c>
    </row>
    <row r="847" spans="1:17" x14ac:dyDescent="0.25">
      <c r="A847" t="str">
        <f>"2018-10-21 11:48:23"</f>
        <v>2018-10-21 11:48:23</v>
      </c>
      <c r="B847" s="1" t="str">
        <f>""</f>
        <v/>
      </c>
      <c r="C847" s="1" t="str">
        <f>"Victoria Judo Club"</f>
        <v>Victoria Judo Club</v>
      </c>
      <c r="D847" s="1" t="str">
        <f>"BC"</f>
        <v>BC</v>
      </c>
      <c r="E847" s="1" t="str">
        <f>"British Columbia"</f>
        <v>British Columbia</v>
      </c>
      <c r="F847" s="1" t="str">
        <f>"Tara"</f>
        <v>Tara</v>
      </c>
      <c r="G847" s="1" t="str">
        <f>"Golonka"</f>
        <v>Golonka</v>
      </c>
      <c r="H847" s="1" t="str">
        <f>"0198740"</f>
        <v>0198740</v>
      </c>
      <c r="I847" s="1" t="str">
        <f t="shared" si="121"/>
        <v>F</v>
      </c>
      <c r="J847" s="2">
        <v>2003</v>
      </c>
      <c r="K847" s="1" t="str">
        <f>"2k"</f>
        <v>2k</v>
      </c>
      <c r="L847" s="1" t="str">
        <f>"U18"</f>
        <v>U18</v>
      </c>
      <c r="M847" s="1" t="str">
        <f t="shared" si="122"/>
        <v>-63</v>
      </c>
      <c r="N847" s="1" t="str">
        <f>""</f>
        <v/>
      </c>
      <c r="O847" s="1">
        <v>1</v>
      </c>
      <c r="P847" s="1"/>
      <c r="Q847" t="s">
        <v>300</v>
      </c>
    </row>
    <row r="848" spans="1:17" x14ac:dyDescent="0.25">
      <c r="A848" t="str">
        <f>"2018-10-02 21:24:14"</f>
        <v>2018-10-02 21:24:14</v>
      </c>
      <c r="B848" s="1" t="str">
        <f>""</f>
        <v/>
      </c>
      <c r="C848" s="1" t="str">
        <f>"Académie de Judo de Sept-Iles Inc."</f>
        <v>Académie de Judo de Sept-Iles Inc.</v>
      </c>
      <c r="D848" s="1" t="str">
        <f>"QC"</f>
        <v>QC</v>
      </c>
      <c r="E848" s="1" t="str">
        <f>"Quebec"</f>
        <v>Quebec</v>
      </c>
      <c r="F848" s="1" t="str">
        <f>"Marie-Pier"</f>
        <v>Marie-Pier</v>
      </c>
      <c r="G848" s="1" t="str">
        <f>"Labrie"</f>
        <v>Labrie</v>
      </c>
      <c r="H848" s="1" t="str">
        <f>"0191305"</f>
        <v>0191305</v>
      </c>
      <c r="I848" s="1" t="str">
        <f t="shared" si="121"/>
        <v>F</v>
      </c>
      <c r="J848" s="2">
        <v>2003</v>
      </c>
      <c r="K848" s="1" t="str">
        <f>"1k"</f>
        <v>1k</v>
      </c>
      <c r="L848" s="1" t="str">
        <f>"U18"</f>
        <v>U18</v>
      </c>
      <c r="M848" s="1" t="str">
        <f t="shared" si="122"/>
        <v>-63</v>
      </c>
      <c r="N848" s="1" t="str">
        <f>""</f>
        <v/>
      </c>
      <c r="O848" s="1">
        <v>1</v>
      </c>
      <c r="P848" s="1"/>
      <c r="Q848" t="s">
        <v>300</v>
      </c>
    </row>
    <row r="849" spans="1:17" x14ac:dyDescent="0.25">
      <c r="A849" t="str">
        <f>"2018-10-20 18:00:51"</f>
        <v>2018-10-20 18:00:51</v>
      </c>
      <c r="B849" s="1" t="str">
        <f>""</f>
        <v/>
      </c>
      <c r="C849" s="1" t="str">
        <f>"Campbell River Judo Club"</f>
        <v>Campbell River Judo Club</v>
      </c>
      <c r="D849" s="1" t="str">
        <f>"BC"</f>
        <v>BC</v>
      </c>
      <c r="E849" s="1" t="str">
        <f>"British Columbia"</f>
        <v>British Columbia</v>
      </c>
      <c r="F849" s="1" t="str">
        <f>"Tianna"</f>
        <v>Tianna</v>
      </c>
      <c r="G849" s="1" t="str">
        <f>"Lund"</f>
        <v>Lund</v>
      </c>
      <c r="H849" s="1" t="str">
        <f>"0221397"</f>
        <v>0221397</v>
      </c>
      <c r="I849" s="1" t="str">
        <f t="shared" si="121"/>
        <v>F</v>
      </c>
      <c r="J849" s="2">
        <v>2003</v>
      </c>
      <c r="K849" s="1" t="str">
        <f>"2k"</f>
        <v>2k</v>
      </c>
      <c r="L849" s="1" t="s">
        <v>121</v>
      </c>
      <c r="M849" s="1" t="str">
        <f t="shared" si="122"/>
        <v>-63</v>
      </c>
      <c r="N849" s="1" t="str">
        <f>""</f>
        <v/>
      </c>
      <c r="O849" s="1">
        <v>2</v>
      </c>
      <c r="P849" s="1"/>
      <c r="Q849" t="s">
        <v>300</v>
      </c>
    </row>
    <row r="850" spans="1:17" x14ac:dyDescent="0.25">
      <c r="A850" t="str">
        <f>"2018-10-20 12:09:39"</f>
        <v>2018-10-20 12:09:39</v>
      </c>
      <c r="B850" s="1" t="str">
        <f>""</f>
        <v/>
      </c>
      <c r="C850" s="1" t="str">
        <f>"Hart Judo Academy"</f>
        <v>Hart Judo Academy</v>
      </c>
      <c r="D850" s="1" t="str">
        <f>"BC"</f>
        <v>BC</v>
      </c>
      <c r="E850" s="1" t="str">
        <f>"British Columbia"</f>
        <v>British Columbia</v>
      </c>
      <c r="F850" s="1" t="str">
        <f>"Tula"</f>
        <v>Tula</v>
      </c>
      <c r="G850" s="1" t="str">
        <f>"Moore"</f>
        <v>Moore</v>
      </c>
      <c r="H850" s="1" t="str">
        <f>"0174770"</f>
        <v>0174770</v>
      </c>
      <c r="I850" s="1" t="str">
        <f t="shared" si="121"/>
        <v>F</v>
      </c>
      <c r="J850" s="2">
        <v>2003</v>
      </c>
      <c r="K850" s="1" t="str">
        <f>"2k"</f>
        <v>2k</v>
      </c>
      <c r="L850" s="1" t="s">
        <v>121</v>
      </c>
      <c r="M850" s="1" t="str">
        <f t="shared" si="122"/>
        <v>-63</v>
      </c>
      <c r="N850" s="1" t="str">
        <f>""</f>
        <v/>
      </c>
      <c r="O850" s="1">
        <v>2</v>
      </c>
      <c r="P850" s="1"/>
      <c r="Q850" t="s">
        <v>300</v>
      </c>
    </row>
    <row r="851" spans="1:17" x14ac:dyDescent="0.25">
      <c r="A851" t="str">
        <f>"2018-10-19 17:43:48"</f>
        <v>2018-10-19 17:43:48</v>
      </c>
      <c r="B851" s="1" t="str">
        <f>""</f>
        <v/>
      </c>
      <c r="C851" s="1" t="str">
        <f>"Club de judo Métropolitain inc."</f>
        <v>Club de judo Métropolitain inc.</v>
      </c>
      <c r="D851" s="1" t="str">
        <f>"QC"</f>
        <v>QC</v>
      </c>
      <c r="E851" s="1" t="str">
        <f>"Quebec"</f>
        <v>Quebec</v>
      </c>
      <c r="F851" s="1" t="str">
        <f>"Lara"</f>
        <v>Lara</v>
      </c>
      <c r="G851" s="1" t="str">
        <f>"Normil"</f>
        <v>Normil</v>
      </c>
      <c r="H851" s="1" t="str">
        <f>"0217568"</f>
        <v>0217568</v>
      </c>
      <c r="I851" s="1" t="str">
        <f t="shared" si="121"/>
        <v>F</v>
      </c>
      <c r="J851" s="2">
        <v>2004</v>
      </c>
      <c r="K851" s="1" t="str">
        <f>"1k"</f>
        <v>1k</v>
      </c>
      <c r="L851" s="1" t="s">
        <v>121</v>
      </c>
      <c r="M851" s="1" t="str">
        <f t="shared" si="122"/>
        <v>-63</v>
      </c>
      <c r="N851" s="1" t="str">
        <f>"-63kg"</f>
        <v>-63kg</v>
      </c>
      <c r="O851" s="1">
        <v>2</v>
      </c>
      <c r="P851" s="1"/>
      <c r="Q851" t="s">
        <v>300</v>
      </c>
    </row>
    <row r="852" spans="1:17" x14ac:dyDescent="0.25">
      <c r="A852" t="str">
        <f>"2018-10-20 12:09:39"</f>
        <v>2018-10-20 12:09:39</v>
      </c>
      <c r="B852" s="1" t="str">
        <f>""</f>
        <v/>
      </c>
      <c r="C852" s="1" t="str">
        <f>"Lethbridge Kyodokan Judo Club"</f>
        <v>Lethbridge Kyodokan Judo Club</v>
      </c>
      <c r="D852" s="1" t="str">
        <f>"AB"</f>
        <v>AB</v>
      </c>
      <c r="E852" s="1" t="str">
        <f>"Alberta"</f>
        <v>Alberta</v>
      </c>
      <c r="F852" s="1" t="str">
        <f>"Coralea"</f>
        <v>Coralea</v>
      </c>
      <c r="G852" s="1" t="str">
        <f>"Pienkowski"</f>
        <v>Pienkowski</v>
      </c>
      <c r="H852" s="1" t="str">
        <f>"0184098"</f>
        <v>0184098</v>
      </c>
      <c r="I852" s="1" t="str">
        <f t="shared" si="121"/>
        <v>F</v>
      </c>
      <c r="J852" s="2">
        <v>2003</v>
      </c>
      <c r="K852" s="1" t="str">
        <f>"2k"</f>
        <v>2k</v>
      </c>
      <c r="L852" s="1" t="str">
        <f>"U18"</f>
        <v>U18</v>
      </c>
      <c r="M852" s="1" t="str">
        <f t="shared" si="122"/>
        <v>-63</v>
      </c>
      <c r="N852" s="1" t="str">
        <f>""</f>
        <v/>
      </c>
      <c r="O852" s="1">
        <v>1</v>
      </c>
      <c r="P852" s="1"/>
      <c r="Q852" t="s">
        <v>300</v>
      </c>
    </row>
    <row r="853" spans="1:17" x14ac:dyDescent="0.25">
      <c r="A853" t="str">
        <f>"2018-10-20 12:09:39"</f>
        <v>2018-10-20 12:09:39</v>
      </c>
      <c r="B853" s="1" t="str">
        <f>""</f>
        <v/>
      </c>
      <c r="C853" s="1" t="str">
        <f>"Hiro's Judo Club"</f>
        <v>Hiro's Judo Club</v>
      </c>
      <c r="D853" s="1" t="str">
        <f>"AB"</f>
        <v>AB</v>
      </c>
      <c r="E853" s="1" t="str">
        <f>"Alberta"</f>
        <v>Alberta</v>
      </c>
      <c r="F853" s="1" t="str">
        <f>"Teyana"</f>
        <v>Teyana</v>
      </c>
      <c r="G853" s="1" t="str">
        <f>"Roberts"</f>
        <v>Roberts</v>
      </c>
      <c r="H853" s="1" t="str">
        <f>"0227442"</f>
        <v>0227442</v>
      </c>
      <c r="I853" s="1" t="str">
        <f t="shared" si="121"/>
        <v>F</v>
      </c>
      <c r="J853" s="2">
        <v>2003</v>
      </c>
      <c r="K853" s="1" t="str">
        <f>"2k"</f>
        <v>2k</v>
      </c>
      <c r="L853" s="1" t="s">
        <v>121</v>
      </c>
      <c r="M853" s="1" t="str">
        <f t="shared" si="122"/>
        <v>-63</v>
      </c>
      <c r="N853" s="1" t="str">
        <f>""</f>
        <v/>
      </c>
      <c r="O853" s="1">
        <v>2</v>
      </c>
      <c r="P853" s="1"/>
      <c r="Q853" t="s">
        <v>300</v>
      </c>
    </row>
    <row r="854" spans="1:17" x14ac:dyDescent="0.25">
      <c r="A854" t="str">
        <f>"2018-10-19 17:43:48"</f>
        <v>2018-10-19 17:43:48</v>
      </c>
      <c r="B854" s="1" t="str">
        <f>"2018-10-22 13:40:00"</f>
        <v>2018-10-22 13:40:00</v>
      </c>
      <c r="C854" s="1" t="str">
        <f>"Club de judo St-Jean Bosco de Hull"</f>
        <v>Club de judo St-Jean Bosco de Hull</v>
      </c>
      <c r="D854" s="1" t="str">
        <f>"QC"</f>
        <v>QC</v>
      </c>
      <c r="E854" s="1" t="str">
        <f>"Quebec"</f>
        <v>Quebec</v>
      </c>
      <c r="F854" s="1" t="str">
        <f>"Marianne"</f>
        <v>Marianne</v>
      </c>
      <c r="G854" s="1" t="str">
        <f>"Roux"</f>
        <v>Roux</v>
      </c>
      <c r="H854" s="1" t="str">
        <f>"0197470"</f>
        <v>0197470</v>
      </c>
      <c r="I854" s="1" t="str">
        <f t="shared" si="121"/>
        <v>F</v>
      </c>
      <c r="J854" s="2">
        <v>2002</v>
      </c>
      <c r="K854" s="1" t="str">
        <f>"1D"</f>
        <v>1D</v>
      </c>
      <c r="L854" s="1" t="s">
        <v>121</v>
      </c>
      <c r="M854" s="1" t="str">
        <f t="shared" si="122"/>
        <v>-63</v>
      </c>
      <c r="N854" s="1" t="str">
        <f>""</f>
        <v/>
      </c>
      <c r="O854" s="1">
        <v>2</v>
      </c>
      <c r="P854" s="1"/>
      <c r="Q854" t="s">
        <v>300</v>
      </c>
    </row>
    <row r="855" spans="1:17" x14ac:dyDescent="0.25">
      <c r="A855" t="str">
        <f>"2018-10-22 19:52:51"</f>
        <v>2018-10-22 19:52:51</v>
      </c>
      <c r="B855" s="1" t="str">
        <f>""</f>
        <v/>
      </c>
      <c r="C855" s="1" t="str">
        <f>"Lethbridge Kyodokan Judo Club"</f>
        <v>Lethbridge Kyodokan Judo Club</v>
      </c>
      <c r="D855" s="1" t="str">
        <f>"AB"</f>
        <v>AB</v>
      </c>
      <c r="E855" s="1" t="str">
        <f>"Alberta"</f>
        <v>Alberta</v>
      </c>
      <c r="F855" s="1" t="str">
        <f>"Ariana"</f>
        <v>Ariana</v>
      </c>
      <c r="G855" s="1" t="str">
        <f>"Schaffel"</f>
        <v>Schaffel</v>
      </c>
      <c r="H855" s="1" t="str">
        <f>"0215343"</f>
        <v>0215343</v>
      </c>
      <c r="I855" s="1" t="str">
        <f t="shared" si="121"/>
        <v>F</v>
      </c>
      <c r="J855" s="2">
        <v>2002</v>
      </c>
      <c r="K855" s="1" t="str">
        <f>"3k"</f>
        <v>3k</v>
      </c>
      <c r="L855" s="1" t="str">
        <f>"U18"</f>
        <v>U18</v>
      </c>
      <c r="M855" s="1" t="str">
        <f t="shared" si="122"/>
        <v>-63</v>
      </c>
      <c r="N855" s="1" t="str">
        <f>""</f>
        <v/>
      </c>
      <c r="O855" s="1">
        <v>1</v>
      </c>
      <c r="P855" s="1"/>
      <c r="Q855" t="s">
        <v>300</v>
      </c>
    </row>
    <row r="856" spans="1:17" x14ac:dyDescent="0.25">
      <c r="A856" t="str">
        <f>"2018-10-22 19:52:51"</f>
        <v>2018-10-22 19:52:51</v>
      </c>
      <c r="B856" s="1" t="str">
        <f>""</f>
        <v/>
      </c>
      <c r="C856" s="1" t="str">
        <f>"Kodokwai Judo Club"</f>
        <v>Kodokwai Judo Club</v>
      </c>
      <c r="D856" s="1" t="str">
        <f>"AB"</f>
        <v>AB</v>
      </c>
      <c r="E856" s="1" t="str">
        <f>"Alberta"</f>
        <v>Alberta</v>
      </c>
      <c r="F856" s="1" t="str">
        <f>"Isabella"</f>
        <v>Isabella</v>
      </c>
      <c r="G856" s="1" t="str">
        <f>"Shepansky"</f>
        <v>Shepansky</v>
      </c>
      <c r="H856" s="1" t="str">
        <f>"0225941"</f>
        <v>0225941</v>
      </c>
      <c r="I856" s="1" t="str">
        <f t="shared" si="121"/>
        <v>F</v>
      </c>
      <c r="J856" s="2">
        <v>2002</v>
      </c>
      <c r="K856" s="1" t="str">
        <f>"3k"</f>
        <v>3k</v>
      </c>
      <c r="L856" s="1" t="str">
        <f>"U18"</f>
        <v>U18</v>
      </c>
      <c r="M856" s="1" t="str">
        <f t="shared" si="122"/>
        <v>-63</v>
      </c>
      <c r="N856" s="1" t="str">
        <f>""</f>
        <v/>
      </c>
      <c r="O856" s="1">
        <v>1</v>
      </c>
      <c r="P856" s="1"/>
      <c r="Q856" t="s">
        <v>300</v>
      </c>
    </row>
    <row r="857" spans="1:17" x14ac:dyDescent="0.25">
      <c r="B857" s="9" t="str">
        <f>""</f>
        <v/>
      </c>
      <c r="C857" s="9" t="str">
        <f>"Club de judo Métropolitain inc."</f>
        <v>Club de judo Métropolitain inc.</v>
      </c>
      <c r="D857" s="9" t="str">
        <f>"QC"</f>
        <v>QC</v>
      </c>
      <c r="E857" s="9" t="str">
        <f>"Quebec"</f>
        <v>Quebec</v>
      </c>
      <c r="F857" s="9" t="str">
        <f>"Justine"</f>
        <v>Justine</v>
      </c>
      <c r="G857" s="9" t="str">
        <f>"Simard"</f>
        <v>Simard</v>
      </c>
      <c r="H857" s="9" t="str">
        <f>"0238300"</f>
        <v>0238300</v>
      </c>
      <c r="I857" s="9" t="str">
        <f t="shared" si="121"/>
        <v>F</v>
      </c>
      <c r="J857" s="9">
        <v>2004</v>
      </c>
      <c r="K857" s="9" t="s">
        <v>73</v>
      </c>
      <c r="L857" s="9" t="s">
        <v>121</v>
      </c>
      <c r="M857" s="9" t="str">
        <f t="shared" si="122"/>
        <v>-63</v>
      </c>
      <c r="N857" s="9"/>
      <c r="O857" s="9">
        <v>2</v>
      </c>
      <c r="P857" s="9"/>
      <c r="Q857" t="s">
        <v>300</v>
      </c>
    </row>
    <row r="858" spans="1:17" x14ac:dyDescent="0.25">
      <c r="A858" t="str">
        <f>"2018-10-13 17:28:27"</f>
        <v>2018-10-13 17:28:27</v>
      </c>
      <c r="B858" s="1" t="str">
        <f>""</f>
        <v/>
      </c>
      <c r="C858" s="1" t="str">
        <f>"Swift Current"</f>
        <v>Swift Current</v>
      </c>
      <c r="D858" s="1" t="str">
        <f>"SK"</f>
        <v>SK</v>
      </c>
      <c r="E858" s="1" t="str">
        <f>"Saskatchewan"</f>
        <v>Saskatchewan</v>
      </c>
      <c r="F858" s="1" t="str">
        <f>"Ghrandozz"</f>
        <v>Ghrandozz</v>
      </c>
      <c r="G858" s="1" t="str">
        <f>"Aguilar"</f>
        <v>Aguilar</v>
      </c>
      <c r="H858" s="1" t="str">
        <f>"0164229"</f>
        <v>0164229</v>
      </c>
      <c r="I858" s="1" t="str">
        <f t="shared" ref="I858:I895" si="123">"M"</f>
        <v>M</v>
      </c>
      <c r="J858" s="2">
        <v>2003</v>
      </c>
      <c r="K858" s="1" t="str">
        <f>"2k"</f>
        <v>2k</v>
      </c>
      <c r="L858" s="1" t="str">
        <f>"U18"</f>
        <v>U18</v>
      </c>
      <c r="M858" s="1" t="str">
        <f t="shared" ref="M858:M895" si="124">"-66"</f>
        <v>-66</v>
      </c>
      <c r="N858" s="1" t="str">
        <f>""</f>
        <v/>
      </c>
      <c r="O858" s="1">
        <v>1</v>
      </c>
      <c r="P858" s="1"/>
      <c r="Q858" t="s">
        <v>301</v>
      </c>
    </row>
    <row r="859" spans="1:17" x14ac:dyDescent="0.25">
      <c r="A859" t="str">
        <f>"2018-10-19 19:28:45"</f>
        <v>2018-10-19 19:28:45</v>
      </c>
      <c r="B859" s="1" t="str">
        <f>""</f>
        <v/>
      </c>
      <c r="C859" s="1" t="str">
        <f>"Lethbridge Kyodokan Judo Club"</f>
        <v>Lethbridge Kyodokan Judo Club</v>
      </c>
      <c r="D859" s="1" t="str">
        <f>"AB"</f>
        <v>AB</v>
      </c>
      <c r="E859" s="1" t="str">
        <f>"Alberta"</f>
        <v>Alberta</v>
      </c>
      <c r="F859" s="1" t="str">
        <f>"Carter"</f>
        <v>Carter</v>
      </c>
      <c r="G859" s="1" t="str">
        <f>"Althouse"</f>
        <v>Althouse</v>
      </c>
      <c r="H859" s="1" t="str">
        <f>"0188735"</f>
        <v>0188735</v>
      </c>
      <c r="I859" s="1" t="str">
        <f t="shared" si="123"/>
        <v>M</v>
      </c>
      <c r="J859" s="2">
        <v>2004</v>
      </c>
      <c r="K859" s="1" t="str">
        <f>"3k"</f>
        <v>3k</v>
      </c>
      <c r="L859" s="1" t="s">
        <v>121</v>
      </c>
      <c r="M859" s="1" t="str">
        <f t="shared" si="124"/>
        <v>-66</v>
      </c>
      <c r="N859" s="1" t="str">
        <f>""</f>
        <v/>
      </c>
      <c r="O859" s="1">
        <v>2</v>
      </c>
      <c r="P859" s="1"/>
      <c r="Q859" t="s">
        <v>301</v>
      </c>
    </row>
    <row r="860" spans="1:17" x14ac:dyDescent="0.25">
      <c r="A860" t="str">
        <f>"2018-10-14 19:16:02"</f>
        <v>2018-10-14 19:16:02</v>
      </c>
      <c r="B860" s="1" t="str">
        <f>""</f>
        <v/>
      </c>
      <c r="C860" s="1" t="str">
        <f>"Toronto Judo Kai"</f>
        <v>Toronto Judo Kai</v>
      </c>
      <c r="D860" s="1" t="str">
        <f>"ON"</f>
        <v>ON</v>
      </c>
      <c r="E860" s="1" t="str">
        <f>"Ontario"</f>
        <v>Ontario</v>
      </c>
      <c r="F860" s="1" t="str">
        <f>"Michael"</f>
        <v>Michael</v>
      </c>
      <c r="G860" s="1" t="str">
        <f>"Arabov"</f>
        <v>Arabov</v>
      </c>
      <c r="H860" s="1" t="str">
        <f>"6298"</f>
        <v>6298</v>
      </c>
      <c r="I860" s="1" t="str">
        <f t="shared" si="123"/>
        <v>M</v>
      </c>
      <c r="J860" s="2">
        <v>2003</v>
      </c>
      <c r="K860" s="1" t="str">
        <f>"2k"</f>
        <v>2k</v>
      </c>
      <c r="L860" s="1" t="str">
        <f>"U18"</f>
        <v>U18</v>
      </c>
      <c r="M860" s="1" t="str">
        <f t="shared" si="124"/>
        <v>-66</v>
      </c>
      <c r="N860" s="1" t="str">
        <f>""</f>
        <v/>
      </c>
      <c r="O860" s="1">
        <v>1</v>
      </c>
      <c r="P860" s="1"/>
      <c r="Q860" t="s">
        <v>301</v>
      </c>
    </row>
    <row r="861" spans="1:17" x14ac:dyDescent="0.25">
      <c r="A861" t="str">
        <f>"2018-10-21 18:05:26"</f>
        <v>2018-10-21 18:05:26</v>
      </c>
      <c r="B861" s="1" t="str">
        <f>""</f>
        <v/>
      </c>
      <c r="C861" s="1" t="str">
        <f>"Club de judo Saint-Hyacinthe Inc."</f>
        <v>Club de judo Saint-Hyacinthe Inc.</v>
      </c>
      <c r="D861" s="1" t="str">
        <f t="shared" ref="D861:D866" si="125">"QC"</f>
        <v>QC</v>
      </c>
      <c r="E861" s="1" t="str">
        <f t="shared" ref="E861:E866" si="126">"Quebec"</f>
        <v>Quebec</v>
      </c>
      <c r="F861" s="1" t="str">
        <f>"Félix"</f>
        <v>Félix</v>
      </c>
      <c r="G861" s="1" t="str">
        <f>"Archambault"</f>
        <v>Archambault</v>
      </c>
      <c r="H861" s="1" t="str">
        <f>"0161072"</f>
        <v>0161072</v>
      </c>
      <c r="I861" s="1" t="str">
        <f t="shared" si="123"/>
        <v>M</v>
      </c>
      <c r="J861" s="2">
        <v>2002</v>
      </c>
      <c r="K861" s="1" t="str">
        <f>"1k"</f>
        <v>1k</v>
      </c>
      <c r="L861" s="1" t="s">
        <v>121</v>
      </c>
      <c r="M861" s="1" t="str">
        <f t="shared" si="124"/>
        <v>-66</v>
      </c>
      <c r="N861" s="1" t="str">
        <f>""</f>
        <v/>
      </c>
      <c r="O861" s="1">
        <v>2</v>
      </c>
      <c r="P861" s="1"/>
      <c r="Q861" t="s">
        <v>301</v>
      </c>
    </row>
    <row r="862" spans="1:17" x14ac:dyDescent="0.25">
      <c r="A862" t="str">
        <f>"2018-10-17 20:07:59"</f>
        <v>2018-10-17 20:07:59</v>
      </c>
      <c r="B862" s="1" t="str">
        <f>""</f>
        <v/>
      </c>
      <c r="C862" s="1" t="str">
        <f>"Club de judo Shidokan inc."</f>
        <v>Club de judo Shidokan inc.</v>
      </c>
      <c r="D862" s="1" t="str">
        <f t="shared" si="125"/>
        <v>QC</v>
      </c>
      <c r="E862" s="1" t="str">
        <f t="shared" si="126"/>
        <v>Quebec</v>
      </c>
      <c r="F862" s="1" t="str">
        <f>"Leo"</f>
        <v>Leo</v>
      </c>
      <c r="G862" s="1" t="str">
        <f>"Arencibia"</f>
        <v>Arencibia</v>
      </c>
      <c r="H862" s="1" t="str">
        <f>"0225165"</f>
        <v>0225165</v>
      </c>
      <c r="I862" s="1" t="str">
        <f t="shared" si="123"/>
        <v>M</v>
      </c>
      <c r="J862" s="2">
        <v>2003</v>
      </c>
      <c r="K862" s="1" t="str">
        <f>"2k"</f>
        <v>2k</v>
      </c>
      <c r="L862" s="1" t="str">
        <f t="shared" ref="L862:L868" si="127">"U18"</f>
        <v>U18</v>
      </c>
      <c r="M862" s="1" t="str">
        <f t="shared" si="124"/>
        <v>-66</v>
      </c>
      <c r="N862" s="1" t="str">
        <f>""</f>
        <v/>
      </c>
      <c r="O862" s="1">
        <v>1</v>
      </c>
      <c r="P862" s="1"/>
      <c r="Q862" t="s">
        <v>301</v>
      </c>
    </row>
    <row r="863" spans="1:17" x14ac:dyDescent="0.25">
      <c r="A863" t="str">
        <f>"2018-10-21 15:19:16"</f>
        <v>2018-10-21 15:19:16</v>
      </c>
      <c r="B863" s="1" t="str">
        <f>""</f>
        <v/>
      </c>
      <c r="C863" s="1" t="str">
        <f>"Club de judo Shidokan inc."</f>
        <v>Club de judo Shidokan inc.</v>
      </c>
      <c r="D863" s="1" t="str">
        <f t="shared" si="125"/>
        <v>QC</v>
      </c>
      <c r="E863" s="1" t="str">
        <f t="shared" si="126"/>
        <v>Quebec</v>
      </c>
      <c r="F863" s="1" t="str">
        <f>"Nu-Maan"</f>
        <v>Nu-Maan</v>
      </c>
      <c r="G863" s="1" t="str">
        <f>"Bassawon"</f>
        <v>Bassawon</v>
      </c>
      <c r="H863" s="1" t="str">
        <f>"0233181"</f>
        <v>0233181</v>
      </c>
      <c r="I863" s="1" t="str">
        <f t="shared" si="123"/>
        <v>M</v>
      </c>
      <c r="J863" s="2">
        <v>2003</v>
      </c>
      <c r="K863" s="1" t="str">
        <f>"2k"</f>
        <v>2k</v>
      </c>
      <c r="L863" s="1" t="str">
        <f t="shared" si="127"/>
        <v>U18</v>
      </c>
      <c r="M863" s="1" t="str">
        <f t="shared" si="124"/>
        <v>-66</v>
      </c>
      <c r="N863" s="1" t="str">
        <f>""</f>
        <v/>
      </c>
      <c r="O863" s="1">
        <v>1</v>
      </c>
      <c r="P863" s="1"/>
      <c r="Q863" t="s">
        <v>301</v>
      </c>
    </row>
    <row r="864" spans="1:17" x14ac:dyDescent="0.25">
      <c r="A864" t="str">
        <f>"2018-10-26 10:58:00"</f>
        <v>2018-10-26 10:58:00</v>
      </c>
      <c r="B864" s="1" t="str">
        <f>""</f>
        <v/>
      </c>
      <c r="C864" s="1" t="str">
        <f>"Club de judo Seïkidokan inc."</f>
        <v>Club de judo Seïkidokan inc.</v>
      </c>
      <c r="D864" s="1" t="str">
        <f t="shared" si="125"/>
        <v>QC</v>
      </c>
      <c r="E864" s="1" t="str">
        <f t="shared" si="126"/>
        <v>Quebec</v>
      </c>
      <c r="F864" s="1" t="str">
        <f>"Kenny"</f>
        <v>Kenny</v>
      </c>
      <c r="G864" s="1" t="str">
        <f>"Bellemare"</f>
        <v>Bellemare</v>
      </c>
      <c r="H864" s="1" t="str">
        <f>"0194142"</f>
        <v>0194142</v>
      </c>
      <c r="I864" s="1" t="str">
        <f t="shared" si="123"/>
        <v>M</v>
      </c>
      <c r="J864" s="2">
        <v>2003</v>
      </c>
      <c r="K864" s="1" t="str">
        <f>"2k"</f>
        <v>2k</v>
      </c>
      <c r="L864" s="1" t="str">
        <f t="shared" si="127"/>
        <v>U18</v>
      </c>
      <c r="M864" s="1" t="str">
        <f t="shared" si="124"/>
        <v>-66</v>
      </c>
      <c r="N864" s="1" t="str">
        <f>""</f>
        <v/>
      </c>
      <c r="O864" s="1">
        <v>1</v>
      </c>
      <c r="P864" s="1"/>
      <c r="Q864" t="s">
        <v>301</v>
      </c>
    </row>
    <row r="865" spans="1:17" x14ac:dyDescent="0.25">
      <c r="A865" t="str">
        <f>"2018-10-01 08:53:31"</f>
        <v>2018-10-01 08:53:31</v>
      </c>
      <c r="B865" s="1" t="str">
        <f>""</f>
        <v/>
      </c>
      <c r="C865" s="1" t="str">
        <f>"Club de judo Métropolitain inc."</f>
        <v>Club de judo Métropolitain inc.</v>
      </c>
      <c r="D865" s="1" t="str">
        <f t="shared" si="125"/>
        <v>QC</v>
      </c>
      <c r="E865" s="1" t="str">
        <f t="shared" si="126"/>
        <v>Quebec</v>
      </c>
      <c r="F865" s="1" t="str">
        <f>"Raphael"</f>
        <v>Raphael</v>
      </c>
      <c r="G865" s="1" t="str">
        <f>"Bencheqroun"</f>
        <v>Bencheqroun</v>
      </c>
      <c r="H865" s="1" t="str">
        <f>"0207287"</f>
        <v>0207287</v>
      </c>
      <c r="I865" s="1" t="str">
        <f t="shared" si="123"/>
        <v>M</v>
      </c>
      <c r="J865" s="2">
        <v>2003</v>
      </c>
      <c r="K865" s="1" t="str">
        <f>"2k"</f>
        <v>2k</v>
      </c>
      <c r="L865" s="1" t="str">
        <f t="shared" si="127"/>
        <v>U18</v>
      </c>
      <c r="M865" s="1" t="str">
        <f t="shared" si="124"/>
        <v>-66</v>
      </c>
      <c r="N865" s="1" t="str">
        <f>""</f>
        <v/>
      </c>
      <c r="O865" s="1">
        <v>1</v>
      </c>
      <c r="P865" s="1"/>
      <c r="Q865" t="s">
        <v>301</v>
      </c>
    </row>
    <row r="866" spans="1:17" x14ac:dyDescent="0.25">
      <c r="A866" t="str">
        <f>"2018-10-01 08:53:31"</f>
        <v>2018-10-01 08:53:31</v>
      </c>
      <c r="B866" s="1" t="str">
        <f>""</f>
        <v/>
      </c>
      <c r="C866" s="1" t="str">
        <f>"Club de Judo et de Ju-Jitsu Juvaldo inc."</f>
        <v>Club de Judo et de Ju-Jitsu Juvaldo inc.</v>
      </c>
      <c r="D866" s="1" t="str">
        <f t="shared" si="125"/>
        <v>QC</v>
      </c>
      <c r="E866" s="1" t="str">
        <f t="shared" si="126"/>
        <v>Quebec</v>
      </c>
      <c r="F866" s="1" t="str">
        <f>"Abdessamad"</f>
        <v>Abdessamad</v>
      </c>
      <c r="G866" s="1" t="str">
        <f>"Borsla"</f>
        <v>Borsla</v>
      </c>
      <c r="H866" s="1" t="str">
        <f>"0175408"</f>
        <v>0175408</v>
      </c>
      <c r="I866" s="1" t="str">
        <f t="shared" si="123"/>
        <v>M</v>
      </c>
      <c r="J866" s="2">
        <v>2002</v>
      </c>
      <c r="K866" s="1" t="str">
        <f>"1k"</f>
        <v>1k</v>
      </c>
      <c r="L866" s="1" t="str">
        <f t="shared" si="127"/>
        <v>U18</v>
      </c>
      <c r="M866" s="1" t="str">
        <f t="shared" si="124"/>
        <v>-66</v>
      </c>
      <c r="N866" s="1" t="str">
        <f>""</f>
        <v/>
      </c>
      <c r="O866" s="1">
        <v>1</v>
      </c>
      <c r="P866" s="1"/>
      <c r="Q866" t="s">
        <v>301</v>
      </c>
    </row>
    <row r="867" spans="1:17" x14ac:dyDescent="0.25">
      <c r="A867" t="str">
        <f>"2018-10-20 21:57:55"</f>
        <v>2018-10-20 21:57:55</v>
      </c>
      <c r="B867" s="1" t="str">
        <f>""</f>
        <v/>
      </c>
      <c r="C867" s="1" t="str">
        <f>"Hayabusakan"</f>
        <v>Hayabusakan</v>
      </c>
      <c r="D867" s="1" t="str">
        <f>"ON"</f>
        <v>ON</v>
      </c>
      <c r="E867" s="1" t="str">
        <f>"Ontario"</f>
        <v>Ontario</v>
      </c>
      <c r="F867" s="1" t="str">
        <f>"Louis"</f>
        <v>Louis</v>
      </c>
      <c r="G867" s="1" t="str">
        <f>"Chevalier"</f>
        <v>Chevalier</v>
      </c>
      <c r="H867" s="1" t="str">
        <f>"0154946"</f>
        <v>0154946</v>
      </c>
      <c r="I867" s="1" t="str">
        <f t="shared" si="123"/>
        <v>M</v>
      </c>
      <c r="J867" s="2">
        <v>2003</v>
      </c>
      <c r="K867" s="1" t="str">
        <f>"1k"</f>
        <v>1k</v>
      </c>
      <c r="L867" s="1" t="str">
        <f t="shared" si="127"/>
        <v>U18</v>
      </c>
      <c r="M867" s="1" t="str">
        <f t="shared" si="124"/>
        <v>-66</v>
      </c>
      <c r="N867" s="1" t="str">
        <f>""</f>
        <v/>
      </c>
      <c r="O867" s="1">
        <v>1</v>
      </c>
      <c r="P867" s="1"/>
      <c r="Q867" t="s">
        <v>301</v>
      </c>
    </row>
    <row r="868" spans="1:17" x14ac:dyDescent="0.25">
      <c r="A868" t="str">
        <f>"2018-10-21 13:21:03"</f>
        <v>2018-10-21 13:21:03</v>
      </c>
      <c r="B868" s="1" t="str">
        <f>""</f>
        <v/>
      </c>
      <c r="C868" s="1" t="str">
        <f>"Académie de Judo de Sept-Iles Inc."</f>
        <v>Académie de Judo de Sept-Iles Inc.</v>
      </c>
      <c r="D868" s="1" t="str">
        <f>"QC"</f>
        <v>QC</v>
      </c>
      <c r="E868" s="1" t="str">
        <f>"Quebec"</f>
        <v>Quebec</v>
      </c>
      <c r="F868" s="1" t="str">
        <f>"Jean-Pascal"</f>
        <v>Jean-Pascal</v>
      </c>
      <c r="G868" s="1" t="str">
        <f>"Coulombe"</f>
        <v>Coulombe</v>
      </c>
      <c r="H868" s="1" t="str">
        <f>"0182492"</f>
        <v>0182492</v>
      </c>
      <c r="I868" s="1" t="str">
        <f t="shared" si="123"/>
        <v>M</v>
      </c>
      <c r="J868" s="2">
        <v>2003</v>
      </c>
      <c r="K868" s="1" t="str">
        <f>"1k"</f>
        <v>1k</v>
      </c>
      <c r="L868" s="1" t="str">
        <f t="shared" si="127"/>
        <v>U18</v>
      </c>
      <c r="M868" s="1" t="str">
        <f t="shared" si="124"/>
        <v>-66</v>
      </c>
      <c r="N868" s="1" t="str">
        <f>""</f>
        <v/>
      </c>
      <c r="O868" s="1">
        <v>1</v>
      </c>
      <c r="P868" s="1"/>
      <c r="Q868" t="s">
        <v>301</v>
      </c>
    </row>
    <row r="869" spans="1:17" x14ac:dyDescent="0.25">
      <c r="A869" t="str">
        <f>"2018-10-21 21:45:03"</f>
        <v>2018-10-21 21:45:03</v>
      </c>
      <c r="B869" s="1" t="str">
        <f>""</f>
        <v/>
      </c>
      <c r="C869" s="1" t="str">
        <f>"Lethbridge Kyodokan Judo Club"</f>
        <v>Lethbridge Kyodokan Judo Club</v>
      </c>
      <c r="D869" s="1" t="str">
        <f>"AB"</f>
        <v>AB</v>
      </c>
      <c r="E869" s="1" t="str">
        <f>"Alberta"</f>
        <v>Alberta</v>
      </c>
      <c r="F869" s="1" t="str">
        <f>"Nathan"</f>
        <v>Nathan</v>
      </c>
      <c r="G869" s="1" t="str">
        <f>"Demaere"</f>
        <v>Demaere</v>
      </c>
      <c r="H869" s="1" t="str">
        <f>"1772775"</f>
        <v>1772775</v>
      </c>
      <c r="I869" s="1" t="str">
        <f t="shared" si="123"/>
        <v>M</v>
      </c>
      <c r="J869" s="2">
        <v>2003</v>
      </c>
      <c r="K869" s="1" t="str">
        <f>"1k"</f>
        <v>1k</v>
      </c>
      <c r="L869" s="1" t="s">
        <v>121</v>
      </c>
      <c r="M869" s="1" t="str">
        <f t="shared" si="124"/>
        <v>-66</v>
      </c>
      <c r="N869" s="1" t="str">
        <f>"u66kg"</f>
        <v>u66kg</v>
      </c>
      <c r="O869" s="1">
        <v>2</v>
      </c>
      <c r="P869" s="1"/>
      <c r="Q869" t="s">
        <v>301</v>
      </c>
    </row>
    <row r="870" spans="1:17" x14ac:dyDescent="0.25">
      <c r="A870" t="str">
        <f>"2018-10-20 21:45:11"</f>
        <v>2018-10-20 21:45:11</v>
      </c>
      <c r="B870" s="1" t="str">
        <f>""</f>
        <v/>
      </c>
      <c r="C870" s="1" t="str">
        <f>"Club de judo Saint-Hyacinthe Inc."</f>
        <v>Club de judo Saint-Hyacinthe Inc.</v>
      </c>
      <c r="D870" s="1" t="str">
        <f>"QC"</f>
        <v>QC</v>
      </c>
      <c r="E870" s="1" t="str">
        <f>"Quebec"</f>
        <v>Quebec</v>
      </c>
      <c r="F870" s="1" t="str">
        <f>"Émilien"</f>
        <v>Émilien</v>
      </c>
      <c r="G870" s="1" t="str">
        <f>"Dutremble"</f>
        <v>Dutremble</v>
      </c>
      <c r="H870" s="1" t="str">
        <f>"0146200"</f>
        <v>0146200</v>
      </c>
      <c r="I870" s="1" t="str">
        <f t="shared" si="123"/>
        <v>M</v>
      </c>
      <c r="J870" s="2">
        <v>2002</v>
      </c>
      <c r="K870" s="1" t="str">
        <f>"1k"</f>
        <v>1k</v>
      </c>
      <c r="L870" s="1" t="str">
        <f>"U18"</f>
        <v>U18</v>
      </c>
      <c r="M870" s="1" t="str">
        <f t="shared" si="124"/>
        <v>-66</v>
      </c>
      <c r="N870" s="1" t="str">
        <f>""</f>
        <v/>
      </c>
      <c r="O870" s="1">
        <v>1</v>
      </c>
      <c r="P870" s="1"/>
      <c r="Q870" t="s">
        <v>301</v>
      </c>
    </row>
    <row r="871" spans="1:17" x14ac:dyDescent="0.25">
      <c r="A871" t="str">
        <f>"2018-10-21 22:34:56"</f>
        <v>2018-10-21 22:34:56</v>
      </c>
      <c r="B871" s="1" t="str">
        <f>""</f>
        <v/>
      </c>
      <c r="C871" s="1" t="str">
        <f>"Club de judo Olympique"</f>
        <v>Club de judo Olympique</v>
      </c>
      <c r="D871" s="1" t="str">
        <f>"QC"</f>
        <v>QC</v>
      </c>
      <c r="E871" s="1" t="str">
        <f>"Quebec"</f>
        <v>Quebec</v>
      </c>
      <c r="F871" s="1" t="str">
        <f>"Ahmed Amine"</f>
        <v>Ahmed Amine</v>
      </c>
      <c r="G871" s="1" t="str">
        <f>"Faci"</f>
        <v>Faci</v>
      </c>
      <c r="H871" s="1" t="str">
        <f>"0238243"</f>
        <v>0238243</v>
      </c>
      <c r="I871" s="1" t="str">
        <f t="shared" si="123"/>
        <v>M</v>
      </c>
      <c r="J871" s="2">
        <v>2002</v>
      </c>
      <c r="K871" s="1" t="str">
        <f>"3k"</f>
        <v>3k</v>
      </c>
      <c r="L871" s="1" t="str">
        <f>"U18"</f>
        <v>U18</v>
      </c>
      <c r="M871" s="1" t="str">
        <f t="shared" si="124"/>
        <v>-66</v>
      </c>
      <c r="N871" s="1" t="str">
        <f>""</f>
        <v/>
      </c>
      <c r="O871" s="1">
        <v>1</v>
      </c>
      <c r="P871" s="1"/>
      <c r="Q871" t="s">
        <v>301</v>
      </c>
    </row>
    <row r="872" spans="1:17" x14ac:dyDescent="0.25">
      <c r="A872" t="str">
        <f>"2018-10-18 11:43:33"</f>
        <v>2018-10-18 11:43:33</v>
      </c>
      <c r="B872" s="1" t="str">
        <f>""</f>
        <v/>
      </c>
      <c r="C872" s="1" t="str">
        <f>"Club Judo Tani de Rivière-du-Loup"</f>
        <v>Club Judo Tani de Rivière-du-Loup</v>
      </c>
      <c r="D872" s="1" t="str">
        <f>"QC"</f>
        <v>QC</v>
      </c>
      <c r="E872" s="1" t="str">
        <f>"Quebec"</f>
        <v>Quebec</v>
      </c>
      <c r="F872" s="1" t="str">
        <f>"Mark"</f>
        <v>Mark</v>
      </c>
      <c r="G872" s="1" t="str">
        <f>"Fournier"</f>
        <v>Fournier</v>
      </c>
      <c r="H872" s="1" t="str">
        <f>"0162399"</f>
        <v>0162399</v>
      </c>
      <c r="I872" s="1" t="str">
        <f t="shared" si="123"/>
        <v>M</v>
      </c>
      <c r="J872" s="2">
        <v>2003</v>
      </c>
      <c r="K872" s="1" t="str">
        <f>"2k"</f>
        <v>2k</v>
      </c>
      <c r="L872" s="1" t="str">
        <f>"U18"</f>
        <v>U18</v>
      </c>
      <c r="M872" s="1" t="str">
        <f t="shared" si="124"/>
        <v>-66</v>
      </c>
      <c r="N872" s="1" t="str">
        <f>""</f>
        <v/>
      </c>
      <c r="O872" s="1">
        <v>1</v>
      </c>
      <c r="P872" s="1"/>
      <c r="Q872" t="s">
        <v>301</v>
      </c>
    </row>
    <row r="873" spans="1:17" x14ac:dyDescent="0.25">
      <c r="A873" t="str">
        <f>"2018-10-20 22:19:00"</f>
        <v>2018-10-20 22:19:00</v>
      </c>
      <c r="B873" s="1" t="str">
        <f>""</f>
        <v/>
      </c>
      <c r="C873" s="1" t="str">
        <f>"Toronto Judo Kai"</f>
        <v>Toronto Judo Kai</v>
      </c>
      <c r="D873" s="1" t="str">
        <f>"ON"</f>
        <v>ON</v>
      </c>
      <c r="E873" s="1" t="str">
        <f>"Ontario"</f>
        <v>Ontario</v>
      </c>
      <c r="F873" s="1" t="str">
        <f>"Artur"</f>
        <v>Artur</v>
      </c>
      <c r="G873" s="1" t="str">
        <f>"Gareev"</f>
        <v>Gareev</v>
      </c>
      <c r="H873" s="1" t="str">
        <f>"0223000"</f>
        <v>0223000</v>
      </c>
      <c r="I873" s="1" t="str">
        <f t="shared" si="123"/>
        <v>M</v>
      </c>
      <c r="J873" s="2">
        <v>2003</v>
      </c>
      <c r="K873" s="1" t="str">
        <f>"1k"</f>
        <v>1k</v>
      </c>
      <c r="L873" s="1" t="str">
        <f>"U18"</f>
        <v>U18</v>
      </c>
      <c r="M873" s="1" t="str">
        <f t="shared" si="124"/>
        <v>-66</v>
      </c>
      <c r="N873" s="1" t="str">
        <f>""</f>
        <v/>
      </c>
      <c r="O873" s="1">
        <v>1</v>
      </c>
      <c r="P873" s="1"/>
      <c r="Q873" t="s">
        <v>301</v>
      </c>
    </row>
    <row r="874" spans="1:17" x14ac:dyDescent="0.25">
      <c r="A874" t="str">
        <f>"2018-10-26 10:06:28"</f>
        <v>2018-10-26 10:06:28</v>
      </c>
      <c r="B874" s="1" t="str">
        <f>""</f>
        <v/>
      </c>
      <c r="C874" s="1" t="str">
        <f>"Club de judo St-Paul l'Ermite"</f>
        <v>Club de judo St-Paul l'Ermite</v>
      </c>
      <c r="D874" s="1" t="str">
        <f>"QC"</f>
        <v>QC</v>
      </c>
      <c r="E874" s="1" t="str">
        <f>"Quebec"</f>
        <v>Quebec</v>
      </c>
      <c r="F874" s="1" t="str">
        <f>"Yanis"</f>
        <v>Yanis</v>
      </c>
      <c r="G874" s="1" t="str">
        <f>"Hachemi"</f>
        <v>Hachemi</v>
      </c>
      <c r="H874" s="1" t="str">
        <f>"0155216"</f>
        <v>0155216</v>
      </c>
      <c r="I874" s="1" t="str">
        <f t="shared" si="123"/>
        <v>M</v>
      </c>
      <c r="J874" s="2">
        <v>2002</v>
      </c>
      <c r="K874" s="1" t="str">
        <f>"1k"</f>
        <v>1k</v>
      </c>
      <c r="L874" s="1" t="s">
        <v>121</v>
      </c>
      <c r="M874" s="1" t="str">
        <f t="shared" si="124"/>
        <v>-66</v>
      </c>
      <c r="N874" s="1" t="str">
        <f>""</f>
        <v/>
      </c>
      <c r="O874" s="1">
        <v>2</v>
      </c>
      <c r="P874" s="1"/>
      <c r="Q874" t="s">
        <v>301</v>
      </c>
    </row>
    <row r="875" spans="1:17" x14ac:dyDescent="0.25">
      <c r="A875" t="str">
        <f>"2018-10-19 19:28:45"</f>
        <v>2018-10-19 19:28:45</v>
      </c>
      <c r="B875" s="1" t="str">
        <f>""</f>
        <v/>
      </c>
      <c r="C875" s="1" t="str">
        <f>"Club de judo Shidokan inc."</f>
        <v>Club de judo Shidokan inc.</v>
      </c>
      <c r="D875" s="1" t="str">
        <f>"QC"</f>
        <v>QC</v>
      </c>
      <c r="E875" s="1" t="str">
        <f>"Quebec"</f>
        <v>Quebec</v>
      </c>
      <c r="F875" s="1" t="str">
        <f>"Noah"</f>
        <v>Noah</v>
      </c>
      <c r="G875" s="1" t="str">
        <f>"Haitas"</f>
        <v>Haitas</v>
      </c>
      <c r="H875" s="1" t="str">
        <f>"0154724"</f>
        <v>0154724</v>
      </c>
      <c r="I875" s="1" t="str">
        <f t="shared" si="123"/>
        <v>M</v>
      </c>
      <c r="J875" s="2">
        <v>2002</v>
      </c>
      <c r="K875" s="1" t="str">
        <f>"1k"</f>
        <v>1k</v>
      </c>
      <c r="L875" s="1" t="s">
        <v>121</v>
      </c>
      <c r="M875" s="1" t="str">
        <f t="shared" si="124"/>
        <v>-66</v>
      </c>
      <c r="N875" s="1" t="str">
        <f>"-66"</f>
        <v>-66</v>
      </c>
      <c r="O875" s="1">
        <v>2</v>
      </c>
      <c r="P875" s="1"/>
      <c r="Q875" t="s">
        <v>301</v>
      </c>
    </row>
    <row r="876" spans="1:17" x14ac:dyDescent="0.25">
      <c r="A876" t="str">
        <f>"2018-10-25 17:41:07"</f>
        <v>2018-10-25 17:41:07</v>
      </c>
      <c r="B876" s="1" t="str">
        <f>""</f>
        <v/>
      </c>
      <c r="C876" s="1" t="str">
        <f>"Hart Judo Academy"</f>
        <v>Hart Judo Academy</v>
      </c>
      <c r="D876" s="1" t="str">
        <f>"BC"</f>
        <v>BC</v>
      </c>
      <c r="E876" s="1" t="str">
        <f>"British Columbia"</f>
        <v>British Columbia</v>
      </c>
      <c r="F876" s="1" t="str">
        <f>"Koen"</f>
        <v>Koen</v>
      </c>
      <c r="G876" s="1" t="str">
        <f>"Heitman"</f>
        <v>Heitman</v>
      </c>
      <c r="H876" s="1" t="str">
        <f>"0163506"</f>
        <v>0163506</v>
      </c>
      <c r="I876" s="1" t="str">
        <f t="shared" si="123"/>
        <v>M</v>
      </c>
      <c r="J876" s="2">
        <v>2002</v>
      </c>
      <c r="K876" s="1" t="str">
        <f>"1k"</f>
        <v>1k</v>
      </c>
      <c r="L876" s="1" t="s">
        <v>121</v>
      </c>
      <c r="M876" s="1" t="str">
        <f t="shared" si="124"/>
        <v>-66</v>
      </c>
      <c r="N876" s="1" t="str">
        <f>""</f>
        <v/>
      </c>
      <c r="O876" s="1">
        <v>2</v>
      </c>
      <c r="P876" s="1"/>
      <c r="Q876" t="s">
        <v>301</v>
      </c>
    </row>
    <row r="877" spans="1:17" x14ac:dyDescent="0.25">
      <c r="A877" t="str">
        <f>"2018-10-21 21:10:12"</f>
        <v>2018-10-21 21:10:12</v>
      </c>
      <c r="B877" s="1" t="str">
        <f>""</f>
        <v/>
      </c>
      <c r="C877" s="1" t="str">
        <f>"Royal St George's College Judo Club"</f>
        <v>Royal St George's College Judo Club</v>
      </c>
      <c r="D877" s="1" t="str">
        <f>"ON"</f>
        <v>ON</v>
      </c>
      <c r="E877" s="1" t="str">
        <f>"Ontario"</f>
        <v>Ontario</v>
      </c>
      <c r="F877" s="1" t="str">
        <f>"Mason"</f>
        <v>Mason</v>
      </c>
      <c r="G877" s="1" t="str">
        <f>"Macmurray-Ramsay"</f>
        <v>Macmurray-Ramsay</v>
      </c>
      <c r="H877" s="1" t="str">
        <f>"0196446"</f>
        <v>0196446</v>
      </c>
      <c r="I877" s="1" t="str">
        <f t="shared" si="123"/>
        <v>M</v>
      </c>
      <c r="J877" s="2">
        <v>2002</v>
      </c>
      <c r="K877" s="1" t="str">
        <f>"1k"</f>
        <v>1k</v>
      </c>
      <c r="L877" s="1" t="str">
        <f>"U18"</f>
        <v>U18</v>
      </c>
      <c r="M877" s="1" t="str">
        <f t="shared" si="124"/>
        <v>-66</v>
      </c>
      <c r="N877" s="1" t="str">
        <f>""</f>
        <v/>
      </c>
      <c r="O877" s="1">
        <v>1</v>
      </c>
      <c r="P877" s="1"/>
      <c r="Q877" t="s">
        <v>301</v>
      </c>
    </row>
    <row r="878" spans="1:17" x14ac:dyDescent="0.25">
      <c r="A878" t="str">
        <f>"2018-10-21 16:48:17"</f>
        <v>2018-10-21 16:48:17</v>
      </c>
      <c r="B878" s="1" t="str">
        <f>""</f>
        <v/>
      </c>
      <c r="C878" s="1" t="str">
        <f>"Club de judo Judo-Tech"</f>
        <v>Club de judo Judo-Tech</v>
      </c>
      <c r="D878" s="1" t="str">
        <f>"QC"</f>
        <v>QC</v>
      </c>
      <c r="E878" s="1" t="str">
        <f>"Quebec"</f>
        <v>Quebec</v>
      </c>
      <c r="F878" s="1" t="str">
        <f>"Louis-Philippe"</f>
        <v>Louis-Philippe</v>
      </c>
      <c r="G878" s="1" t="str">
        <f>"Manseau"</f>
        <v>Manseau</v>
      </c>
      <c r="H878" s="1" t="str">
        <f>"0165102"</f>
        <v>0165102</v>
      </c>
      <c r="I878" s="1" t="str">
        <f t="shared" si="123"/>
        <v>M</v>
      </c>
      <c r="J878" s="2">
        <v>2002</v>
      </c>
      <c r="K878" s="1" t="str">
        <f>"3k"</f>
        <v>3k</v>
      </c>
      <c r="L878" s="1" t="str">
        <f>"U18"</f>
        <v>U18</v>
      </c>
      <c r="M878" s="1" t="str">
        <f t="shared" si="124"/>
        <v>-66</v>
      </c>
      <c r="N878" s="1" t="str">
        <f>""</f>
        <v/>
      </c>
      <c r="O878" s="1">
        <v>1</v>
      </c>
      <c r="P878" s="1"/>
      <c r="Q878" t="s">
        <v>301</v>
      </c>
    </row>
    <row r="879" spans="1:17" x14ac:dyDescent="0.25">
      <c r="A879" t="str">
        <f>"2018-10-17 09:50:39"</f>
        <v>2018-10-17 09:50:39</v>
      </c>
      <c r="B879" s="1" t="str">
        <f>""</f>
        <v/>
      </c>
      <c r="C879" s="1" t="str">
        <f>"Kelowna Judo Club"</f>
        <v>Kelowna Judo Club</v>
      </c>
      <c r="D879" s="1" t="str">
        <f>"BC"</f>
        <v>BC</v>
      </c>
      <c r="E879" s="1" t="str">
        <f>"British Columbia"</f>
        <v>British Columbia</v>
      </c>
      <c r="F879" s="1" t="str">
        <f>"Caine"</f>
        <v>Caine</v>
      </c>
      <c r="G879" s="1" t="str">
        <f>"McCabe"</f>
        <v>McCabe</v>
      </c>
      <c r="H879" s="1" t="str">
        <f>"0227031"</f>
        <v>0227031</v>
      </c>
      <c r="I879" s="1" t="str">
        <f t="shared" si="123"/>
        <v>M</v>
      </c>
      <c r="J879" s="2">
        <v>2002</v>
      </c>
      <c r="K879" s="1" t="str">
        <f>"1k"</f>
        <v>1k</v>
      </c>
      <c r="L879" s="1" t="s">
        <v>121</v>
      </c>
      <c r="M879" s="1" t="str">
        <f t="shared" si="124"/>
        <v>-66</v>
      </c>
      <c r="N879" s="1" t="str">
        <f>""</f>
        <v/>
      </c>
      <c r="O879" s="1">
        <v>2</v>
      </c>
      <c r="P879" s="1"/>
      <c r="Q879" t="s">
        <v>301</v>
      </c>
    </row>
    <row r="880" spans="1:17" x14ac:dyDescent="0.25">
      <c r="A880" t="str">
        <f>"2018-10-14 19:16:02"</f>
        <v>2018-10-14 19:16:02</v>
      </c>
      <c r="B880" s="1" t="str">
        <f>""</f>
        <v/>
      </c>
      <c r="C880" s="1" t="str">
        <f>"Judo Otoshi Dieppe"</f>
        <v>Judo Otoshi Dieppe</v>
      </c>
      <c r="D880" s="1" t="str">
        <f>"NB"</f>
        <v>NB</v>
      </c>
      <c r="E880" s="1" t="str">
        <f>"New Brunswick"</f>
        <v>New Brunswick</v>
      </c>
      <c r="F880" s="1" t="str">
        <f>"Samuel"</f>
        <v>Samuel</v>
      </c>
      <c r="G880" s="1" t="str">
        <f>"McGraw"</f>
        <v>McGraw</v>
      </c>
      <c r="H880" s="1" t="str">
        <f>"0213706"</f>
        <v>0213706</v>
      </c>
      <c r="I880" s="1" t="str">
        <f t="shared" si="123"/>
        <v>M</v>
      </c>
      <c r="J880" s="2">
        <v>2003</v>
      </c>
      <c r="K880" s="1" t="str">
        <f>"3k"</f>
        <v>3k</v>
      </c>
      <c r="L880" s="1" t="str">
        <f>"U18"</f>
        <v>U18</v>
      </c>
      <c r="M880" s="1" t="str">
        <f t="shared" si="124"/>
        <v>-66</v>
      </c>
      <c r="N880" s="1" t="str">
        <f>""</f>
        <v/>
      </c>
      <c r="O880" s="1">
        <v>1</v>
      </c>
      <c r="P880" s="1"/>
      <c r="Q880" t="s">
        <v>301</v>
      </c>
    </row>
    <row r="881" spans="1:17" x14ac:dyDescent="0.25">
      <c r="A881" t="str">
        <f>"2018-10-21 21:13:16"</f>
        <v>2018-10-21 21:13:16</v>
      </c>
      <c r="B881" s="1" t="str">
        <f>""</f>
        <v/>
      </c>
      <c r="C881" s="1" t="str">
        <f>"Club de judo Métropolitain inc."</f>
        <v>Club de judo Métropolitain inc.</v>
      </c>
      <c r="D881" s="1" t="str">
        <f t="shared" ref="D881:D886" si="128">"QC"</f>
        <v>QC</v>
      </c>
      <c r="E881" s="1" t="str">
        <f t="shared" ref="E881:E886" si="129">"Quebec"</f>
        <v>Quebec</v>
      </c>
      <c r="F881" s="1" t="str">
        <f>"Felix"</f>
        <v>Felix</v>
      </c>
      <c r="G881" s="1" t="str">
        <f>"Mercier Ross"</f>
        <v>Mercier Ross</v>
      </c>
      <c r="H881" s="1" t="str">
        <f>"0204120"</f>
        <v>0204120</v>
      </c>
      <c r="I881" s="1" t="str">
        <f t="shared" si="123"/>
        <v>M</v>
      </c>
      <c r="J881" s="2">
        <v>2004</v>
      </c>
      <c r="K881" s="1" t="str">
        <f>"1k"</f>
        <v>1k</v>
      </c>
      <c r="L881" s="1" t="s">
        <v>121</v>
      </c>
      <c r="M881" s="1" t="str">
        <f t="shared" si="124"/>
        <v>-66</v>
      </c>
      <c r="N881" s="1" t="str">
        <f>""</f>
        <v/>
      </c>
      <c r="O881" s="1">
        <v>2</v>
      </c>
      <c r="P881" s="1"/>
      <c r="Q881" t="s">
        <v>301</v>
      </c>
    </row>
    <row r="882" spans="1:17" x14ac:dyDescent="0.25">
      <c r="A882" t="str">
        <f>"2018-10-22 18:07:02"</f>
        <v>2018-10-22 18:07:02</v>
      </c>
      <c r="B882" s="1" t="str">
        <f>""</f>
        <v/>
      </c>
      <c r="C882" s="1" t="str">
        <f>"Club de judo Judo-Tech"</f>
        <v>Club de judo Judo-Tech</v>
      </c>
      <c r="D882" s="1" t="str">
        <f t="shared" si="128"/>
        <v>QC</v>
      </c>
      <c r="E882" s="1" t="str">
        <f t="shared" si="129"/>
        <v>Quebec</v>
      </c>
      <c r="F882" s="1" t="str">
        <f>"Benoit"</f>
        <v>Benoit</v>
      </c>
      <c r="G882" s="1" t="str">
        <f>"Pelletier"</f>
        <v>Pelletier</v>
      </c>
      <c r="H882" s="1" t="str">
        <f>"0176823"</f>
        <v>0176823</v>
      </c>
      <c r="I882" s="1" t="str">
        <f t="shared" si="123"/>
        <v>M</v>
      </c>
      <c r="J882" s="2">
        <v>2003</v>
      </c>
      <c r="K882" s="1" t="str">
        <f>"1k"</f>
        <v>1k</v>
      </c>
      <c r="L882" s="1" t="str">
        <f t="shared" ref="L882:L888" si="130">"U18"</f>
        <v>U18</v>
      </c>
      <c r="M882" s="1" t="str">
        <f t="shared" si="124"/>
        <v>-66</v>
      </c>
      <c r="N882" s="1" t="str">
        <f>""</f>
        <v/>
      </c>
      <c r="O882" s="1">
        <v>1</v>
      </c>
      <c r="P882" s="1"/>
      <c r="Q882" t="s">
        <v>301</v>
      </c>
    </row>
    <row r="883" spans="1:17" x14ac:dyDescent="0.25">
      <c r="A883" t="str">
        <f>"2018-10-25 07:52:12"</f>
        <v>2018-10-25 07:52:12</v>
      </c>
      <c r="B883" s="1" t="str">
        <f>""</f>
        <v/>
      </c>
      <c r="C883" s="1" t="str">
        <f>"Club de judo Rikidokan inc."</f>
        <v>Club de judo Rikidokan inc.</v>
      </c>
      <c r="D883" s="1" t="str">
        <f t="shared" si="128"/>
        <v>QC</v>
      </c>
      <c r="E883" s="1" t="str">
        <f t="shared" si="129"/>
        <v>Quebec</v>
      </c>
      <c r="F883" s="1" t="str">
        <f>"Thibault"</f>
        <v>Thibault</v>
      </c>
      <c r="G883" s="1" t="str">
        <f>"Piat"</f>
        <v>Piat</v>
      </c>
      <c r="H883" s="1" t="str">
        <f>"0189709"</f>
        <v>0189709</v>
      </c>
      <c r="I883" s="1" t="str">
        <f t="shared" si="123"/>
        <v>M</v>
      </c>
      <c r="J883" s="2">
        <v>2003</v>
      </c>
      <c r="K883" s="1" t="str">
        <f>"1k"</f>
        <v>1k</v>
      </c>
      <c r="L883" s="1" t="str">
        <f t="shared" si="130"/>
        <v>U18</v>
      </c>
      <c r="M883" s="1" t="str">
        <f t="shared" si="124"/>
        <v>-66</v>
      </c>
      <c r="N883" s="1" t="str">
        <f>""</f>
        <v/>
      </c>
      <c r="O883" s="1">
        <v>1</v>
      </c>
      <c r="P883" s="1"/>
      <c r="Q883" t="s">
        <v>301</v>
      </c>
    </row>
    <row r="884" spans="1:17" x14ac:dyDescent="0.25">
      <c r="A884" t="str">
        <f>"2018-10-07 16:42:09"</f>
        <v>2018-10-07 16:42:09</v>
      </c>
      <c r="B884" s="1" t="str">
        <f>""</f>
        <v/>
      </c>
      <c r="C884" s="1" t="str">
        <f>"Club de Judo centre Multisports"</f>
        <v>Club de Judo centre Multisports</v>
      </c>
      <c r="D884" s="1" t="str">
        <f t="shared" si="128"/>
        <v>QC</v>
      </c>
      <c r="E884" s="1" t="str">
        <f t="shared" si="129"/>
        <v>Quebec</v>
      </c>
      <c r="F884" s="1" t="str">
        <f>"Yan"</f>
        <v>Yan</v>
      </c>
      <c r="G884" s="1" t="str">
        <f>"Pilon"</f>
        <v>Pilon</v>
      </c>
      <c r="H884" s="1" t="str">
        <f>"0230219"</f>
        <v>0230219</v>
      </c>
      <c r="I884" s="1" t="str">
        <f t="shared" si="123"/>
        <v>M</v>
      </c>
      <c r="J884" s="2">
        <v>2002</v>
      </c>
      <c r="K884" s="1" t="str">
        <f>"3k"</f>
        <v>3k</v>
      </c>
      <c r="L884" s="1" t="str">
        <f t="shared" si="130"/>
        <v>U18</v>
      </c>
      <c r="M884" s="1" t="str">
        <f t="shared" si="124"/>
        <v>-66</v>
      </c>
      <c r="N884" s="1" t="str">
        <f>""</f>
        <v/>
      </c>
      <c r="O884" s="1">
        <v>1</v>
      </c>
      <c r="P884" s="1"/>
      <c r="Q884" t="s">
        <v>301</v>
      </c>
    </row>
    <row r="885" spans="1:17" x14ac:dyDescent="0.25">
      <c r="A885" t="str">
        <f>"2018-10-21 21:20:29"</f>
        <v>2018-10-21 21:20:29</v>
      </c>
      <c r="B885" s="1" t="str">
        <f>""</f>
        <v/>
      </c>
      <c r="C885" s="1" t="str">
        <f>"Club de judo Shidokan inc."</f>
        <v>Club de judo Shidokan inc.</v>
      </c>
      <c r="D885" s="1" t="str">
        <f t="shared" si="128"/>
        <v>QC</v>
      </c>
      <c r="E885" s="1" t="str">
        <f t="shared" si="129"/>
        <v>Quebec</v>
      </c>
      <c r="F885" s="1" t="str">
        <f>"David"</f>
        <v>David</v>
      </c>
      <c r="G885" s="1" t="str">
        <f>"Popovici"</f>
        <v>Popovici</v>
      </c>
      <c r="H885" s="1" t="str">
        <f>"0201231"</f>
        <v>0201231</v>
      </c>
      <c r="I885" s="1" t="str">
        <f t="shared" si="123"/>
        <v>M</v>
      </c>
      <c r="J885" s="2">
        <v>2002</v>
      </c>
      <c r="K885" s="1" t="str">
        <f>"1k"</f>
        <v>1k</v>
      </c>
      <c r="L885" s="1" t="str">
        <f t="shared" si="130"/>
        <v>U18</v>
      </c>
      <c r="M885" s="1" t="str">
        <f t="shared" si="124"/>
        <v>-66</v>
      </c>
      <c r="N885" s="1" t="str">
        <f>""</f>
        <v/>
      </c>
      <c r="O885" s="1">
        <v>1</v>
      </c>
      <c r="P885" s="1"/>
      <c r="Q885" t="s">
        <v>301</v>
      </c>
    </row>
    <row r="886" spans="1:17" x14ac:dyDescent="0.25">
      <c r="A886" t="str">
        <f>"2018-10-13 21:13:32"</f>
        <v>2018-10-13 21:13:32</v>
      </c>
      <c r="B886" s="1" t="str">
        <f>""</f>
        <v/>
      </c>
      <c r="C886" s="1" t="str">
        <f>"Institut Judo Chicoutimi"</f>
        <v>Institut Judo Chicoutimi</v>
      </c>
      <c r="D886" s="1" t="str">
        <f t="shared" si="128"/>
        <v>QC</v>
      </c>
      <c r="E886" s="1" t="str">
        <f t="shared" si="129"/>
        <v>Quebec</v>
      </c>
      <c r="F886" s="1" t="str">
        <f>"Philippe"</f>
        <v>Philippe</v>
      </c>
      <c r="G886" s="1" t="str">
        <f>"Richer"</f>
        <v>Richer</v>
      </c>
      <c r="H886" s="1" t="str">
        <f>"0156412"</f>
        <v>0156412</v>
      </c>
      <c r="I886" s="1" t="str">
        <f t="shared" si="123"/>
        <v>M</v>
      </c>
      <c r="J886" s="2">
        <v>2003</v>
      </c>
      <c r="K886" s="1" t="str">
        <f>"2k"</f>
        <v>2k</v>
      </c>
      <c r="L886" s="1" t="str">
        <f t="shared" si="130"/>
        <v>U18</v>
      </c>
      <c r="M886" s="1" t="str">
        <f t="shared" si="124"/>
        <v>-66</v>
      </c>
      <c r="N886" s="1" t="str">
        <f>""</f>
        <v/>
      </c>
      <c r="O886" s="1">
        <v>1</v>
      </c>
      <c r="P886" s="1"/>
      <c r="Q886" t="s">
        <v>301</v>
      </c>
    </row>
    <row r="887" spans="1:17" x14ac:dyDescent="0.25">
      <c r="A887" t="str">
        <f>"2018-10-21 16:07:02"</f>
        <v>2018-10-21 16:07:02</v>
      </c>
      <c r="B887" s="1" t="str">
        <f>""</f>
        <v/>
      </c>
      <c r="C887" s="1" t="str">
        <f>"AJAX Budokan"</f>
        <v>AJAX Budokan</v>
      </c>
      <c r="D887" s="1" t="str">
        <f>"ON"</f>
        <v>ON</v>
      </c>
      <c r="E887" s="1" t="str">
        <f>"Ontario"</f>
        <v>Ontario</v>
      </c>
      <c r="F887" s="1" t="str">
        <f>"Jeremy"</f>
        <v>Jeremy</v>
      </c>
      <c r="G887" s="1" t="str">
        <f>"Riekstins"</f>
        <v>Riekstins</v>
      </c>
      <c r="H887" s="1" t="str">
        <f>"0160985"</f>
        <v>0160985</v>
      </c>
      <c r="I887" s="1" t="str">
        <f t="shared" si="123"/>
        <v>M</v>
      </c>
      <c r="J887" s="2">
        <v>2003</v>
      </c>
      <c r="K887" s="1" t="str">
        <f t="shared" ref="K887:K893" si="131">"1k"</f>
        <v>1k</v>
      </c>
      <c r="L887" s="1" t="str">
        <f t="shared" si="130"/>
        <v>U18</v>
      </c>
      <c r="M887" s="1" t="str">
        <f t="shared" si="124"/>
        <v>-66</v>
      </c>
      <c r="N887" s="1" t="str">
        <f>""</f>
        <v/>
      </c>
      <c r="O887" s="1">
        <v>1</v>
      </c>
      <c r="P887" s="1"/>
      <c r="Q887" t="s">
        <v>301</v>
      </c>
    </row>
    <row r="888" spans="1:17" x14ac:dyDescent="0.25">
      <c r="A888" t="str">
        <f>"2018-10-12 10:28:41"</f>
        <v>2018-10-12 10:28:41</v>
      </c>
      <c r="B888" s="1" t="str">
        <f>""</f>
        <v/>
      </c>
      <c r="C888" s="1" t="str">
        <f>"Asahi Judo Club"</f>
        <v>Asahi Judo Club</v>
      </c>
      <c r="D888" s="1" t="str">
        <f>"ON"</f>
        <v>ON</v>
      </c>
      <c r="E888" s="1" t="str">
        <f>"Ontario"</f>
        <v>Ontario</v>
      </c>
      <c r="F888" s="1" t="str">
        <f>"Matthew"</f>
        <v>Matthew</v>
      </c>
      <c r="G888" s="1" t="str">
        <f>"Ross"</f>
        <v>Ross</v>
      </c>
      <c r="H888" s="1" t="str">
        <f>"0161249"</f>
        <v>0161249</v>
      </c>
      <c r="I888" s="1" t="str">
        <f t="shared" si="123"/>
        <v>M</v>
      </c>
      <c r="J888" s="2">
        <v>2002</v>
      </c>
      <c r="K888" s="1" t="str">
        <f t="shared" si="131"/>
        <v>1k</v>
      </c>
      <c r="L888" s="1" t="str">
        <f t="shared" si="130"/>
        <v>U18</v>
      </c>
      <c r="M888" s="1" t="str">
        <f t="shared" si="124"/>
        <v>-66</v>
      </c>
      <c r="N888" s="1" t="str">
        <f>""</f>
        <v/>
      </c>
      <c r="O888" s="1">
        <v>1</v>
      </c>
      <c r="P888" s="1"/>
      <c r="Q888" t="s">
        <v>301</v>
      </c>
    </row>
    <row r="889" spans="1:17" x14ac:dyDescent="0.25">
      <c r="A889" t="str">
        <f>"2018-10-12 10:28:41"</f>
        <v>2018-10-12 10:28:41</v>
      </c>
      <c r="B889" s="1" t="str">
        <f>""</f>
        <v/>
      </c>
      <c r="C889" s="1" t="str">
        <f>"Atlantic Training Center"</f>
        <v>Atlantic Training Center</v>
      </c>
      <c r="D889" s="1" t="str">
        <f>"NS"</f>
        <v>NS</v>
      </c>
      <c r="E889" s="1" t="str">
        <f>"Nova Scotia"</f>
        <v>Nova Scotia</v>
      </c>
      <c r="F889" s="1" t="str">
        <f>"Caleb"</f>
        <v>Caleb</v>
      </c>
      <c r="G889" s="1" t="str">
        <f>"Rust"</f>
        <v>Rust</v>
      </c>
      <c r="H889" s="1" t="str">
        <f>"0185043"</f>
        <v>0185043</v>
      </c>
      <c r="I889" s="1" t="str">
        <f t="shared" si="123"/>
        <v>M</v>
      </c>
      <c r="J889" s="2">
        <v>2002</v>
      </c>
      <c r="K889" s="1" t="str">
        <f t="shared" si="131"/>
        <v>1k</v>
      </c>
      <c r="L889" s="1" t="s">
        <v>121</v>
      </c>
      <c r="M889" s="1" t="str">
        <f t="shared" si="124"/>
        <v>-66</v>
      </c>
      <c r="N889" s="1" t="str">
        <f>""</f>
        <v/>
      </c>
      <c r="O889" s="1">
        <v>2</v>
      </c>
      <c r="P889" s="1"/>
      <c r="Q889" t="s">
        <v>301</v>
      </c>
    </row>
    <row r="890" spans="1:17" x14ac:dyDescent="0.25">
      <c r="A890" t="str">
        <f>"2018-10-19 23:07:31"</f>
        <v>2018-10-19 23:07:31</v>
      </c>
      <c r="B890" s="1" t="str">
        <f>""</f>
        <v/>
      </c>
      <c r="C890" s="1" t="str">
        <f>"Peel Judo Club"</f>
        <v>Peel Judo Club</v>
      </c>
      <c r="D890" s="1" t="str">
        <f>"ON"</f>
        <v>ON</v>
      </c>
      <c r="E890" s="1" t="str">
        <f>"Ontario"</f>
        <v>Ontario</v>
      </c>
      <c r="F890" s="1" t="str">
        <f>"Liam"</f>
        <v>Liam</v>
      </c>
      <c r="G890" s="1" t="str">
        <f>"Ruttan"</f>
        <v>Ruttan</v>
      </c>
      <c r="H890" s="1" t="str">
        <f>"0171265"</f>
        <v>0171265</v>
      </c>
      <c r="I890" s="1" t="str">
        <f t="shared" si="123"/>
        <v>M</v>
      </c>
      <c r="J890" s="2">
        <v>2003</v>
      </c>
      <c r="K890" s="1" t="str">
        <f t="shared" si="131"/>
        <v>1k</v>
      </c>
      <c r="L890" s="1" t="str">
        <f>"U18"</f>
        <v>U18</v>
      </c>
      <c r="M890" s="1" t="str">
        <f t="shared" si="124"/>
        <v>-66</v>
      </c>
      <c r="N890" s="1" t="str">
        <f>""</f>
        <v/>
      </c>
      <c r="O890" s="1">
        <v>1</v>
      </c>
      <c r="P890" s="1"/>
      <c r="Q890" t="s">
        <v>301</v>
      </c>
    </row>
    <row r="891" spans="1:17" x14ac:dyDescent="0.25">
      <c r="A891" t="str">
        <f>"2018-10-11 12:33:00"</f>
        <v>2018-10-11 12:33:00</v>
      </c>
      <c r="B891" s="1" t="str">
        <f>""</f>
        <v/>
      </c>
      <c r="C891" s="1" t="str">
        <f>"Shin Bu Kan"</f>
        <v>Shin Bu Kan</v>
      </c>
      <c r="D891" s="1" t="str">
        <f>"ON"</f>
        <v>ON</v>
      </c>
      <c r="E891" s="1" t="str">
        <f>"Ontario"</f>
        <v>Ontario</v>
      </c>
      <c r="F891" s="1" t="str">
        <f>"Zakrea"</f>
        <v>Zakrea</v>
      </c>
      <c r="G891" s="1" t="str">
        <f>"Shirzad"</f>
        <v>Shirzad</v>
      </c>
      <c r="H891" s="1" t="str">
        <f>"0185218"</f>
        <v>0185218</v>
      </c>
      <c r="I891" s="1" t="str">
        <f t="shared" si="123"/>
        <v>M</v>
      </c>
      <c r="J891" s="2">
        <v>2002</v>
      </c>
      <c r="K891" s="1" t="str">
        <f t="shared" si="131"/>
        <v>1k</v>
      </c>
      <c r="L891" s="1" t="str">
        <f>"U18"</f>
        <v>U18</v>
      </c>
      <c r="M891" s="1" t="str">
        <f t="shared" si="124"/>
        <v>-66</v>
      </c>
      <c r="N891" s="1" t="str">
        <f>""</f>
        <v/>
      </c>
      <c r="O891" s="1">
        <v>1</v>
      </c>
      <c r="P891" s="1"/>
      <c r="Q891" t="s">
        <v>301</v>
      </c>
    </row>
    <row r="892" spans="1:17" x14ac:dyDescent="0.25">
      <c r="A892" t="str">
        <f>"2018-10-06 12:09:40"</f>
        <v>2018-10-06 12:09:40</v>
      </c>
      <c r="B892" s="1" t="str">
        <f>""</f>
        <v/>
      </c>
      <c r="C892" s="1" t="str">
        <f>"Asahi Judo Club"</f>
        <v>Asahi Judo Club</v>
      </c>
      <c r="D892" s="1" t="str">
        <f>"ON"</f>
        <v>ON</v>
      </c>
      <c r="E892" s="1" t="str">
        <f>"Ontario"</f>
        <v>Ontario</v>
      </c>
      <c r="F892" s="1" t="str">
        <f>"Thomas"</f>
        <v>Thomas</v>
      </c>
      <c r="G892" s="1" t="str">
        <f>"Sparkes"</f>
        <v>Sparkes</v>
      </c>
      <c r="H892" s="1" t="str">
        <f>"0177382"</f>
        <v>0177382</v>
      </c>
      <c r="I892" s="1" t="str">
        <f t="shared" si="123"/>
        <v>M</v>
      </c>
      <c r="J892" s="2">
        <v>2004</v>
      </c>
      <c r="K892" s="1" t="str">
        <f t="shared" si="131"/>
        <v>1k</v>
      </c>
      <c r="L892" s="1" t="s">
        <v>121</v>
      </c>
      <c r="M892" s="1" t="str">
        <f t="shared" si="124"/>
        <v>-66</v>
      </c>
      <c r="N892" s="1" t="str">
        <f>""</f>
        <v/>
      </c>
      <c r="O892" s="1">
        <v>2</v>
      </c>
      <c r="P892" s="1"/>
      <c r="Q892" t="s">
        <v>301</v>
      </c>
    </row>
    <row r="893" spans="1:17" x14ac:dyDescent="0.25">
      <c r="A893" t="str">
        <f>"2018-10-19 17:43:48"</f>
        <v>2018-10-19 17:43:48</v>
      </c>
      <c r="B893" s="1" t="str">
        <f>""</f>
        <v/>
      </c>
      <c r="C893" s="1" t="str">
        <f>"Club de Judo et de Ju-Jitsu Juvaldo inc."</f>
        <v>Club de Judo et de Ju-Jitsu Juvaldo inc.</v>
      </c>
      <c r="D893" s="1" t="str">
        <f>"QC"</f>
        <v>QC</v>
      </c>
      <c r="E893" s="1" t="str">
        <f>"Quebec"</f>
        <v>Quebec</v>
      </c>
      <c r="F893" s="1" t="str">
        <f>"Jacob"</f>
        <v>Jacob</v>
      </c>
      <c r="G893" s="1" t="str">
        <f>"Trudel"</f>
        <v>Trudel</v>
      </c>
      <c r="H893" s="1" t="str">
        <f>"0152930"</f>
        <v>0152930</v>
      </c>
      <c r="I893" s="1" t="str">
        <f t="shared" si="123"/>
        <v>M</v>
      </c>
      <c r="J893" s="2">
        <v>2002</v>
      </c>
      <c r="K893" s="1" t="str">
        <f t="shared" si="131"/>
        <v>1k</v>
      </c>
      <c r="L893" s="1" t="s">
        <v>121</v>
      </c>
      <c r="M893" s="1" t="str">
        <f t="shared" si="124"/>
        <v>-66</v>
      </c>
      <c r="N893" s="1" t="str">
        <f>""</f>
        <v/>
      </c>
      <c r="O893" s="1">
        <v>2</v>
      </c>
      <c r="P893" s="1"/>
      <c r="Q893" t="s">
        <v>301</v>
      </c>
    </row>
    <row r="894" spans="1:17" x14ac:dyDescent="0.25">
      <c r="A894" t="str">
        <f>"2018-10-21 15:09:53"</f>
        <v>2018-10-21 15:09:53</v>
      </c>
      <c r="B894" s="1" t="str">
        <f>""</f>
        <v/>
      </c>
      <c r="C894" s="1" t="str">
        <f>"R.a. Judo Club"</f>
        <v>R.a. Judo Club</v>
      </c>
      <c r="D894" s="1" t="str">
        <f>"ON"</f>
        <v>ON</v>
      </c>
      <c r="E894" s="1" t="str">
        <f>"Ontario"</f>
        <v>Ontario</v>
      </c>
      <c r="F894" s="1" t="str">
        <f>"Kaden"</f>
        <v>Kaden</v>
      </c>
      <c r="G894" s="1" t="str">
        <f>"Venugopal"</f>
        <v>Venugopal</v>
      </c>
      <c r="H894" s="1" t="str">
        <f>"0164797"</f>
        <v>0164797</v>
      </c>
      <c r="I894" s="1" t="str">
        <f t="shared" si="123"/>
        <v>M</v>
      </c>
      <c r="J894" s="2">
        <v>2002</v>
      </c>
      <c r="K894" s="1" t="str">
        <f>"1D"</f>
        <v>1D</v>
      </c>
      <c r="L894" s="1" t="str">
        <f>"U18"</f>
        <v>U18</v>
      </c>
      <c r="M894" s="1" t="str">
        <f t="shared" si="124"/>
        <v>-66</v>
      </c>
      <c r="N894" s="1" t="str">
        <f>""</f>
        <v/>
      </c>
      <c r="O894" s="1">
        <v>1</v>
      </c>
      <c r="P894" s="1"/>
      <c r="Q894" t="s">
        <v>301</v>
      </c>
    </row>
    <row r="895" spans="1:17" x14ac:dyDescent="0.25">
      <c r="A895" t="str">
        <f>"2018-10-19 19:28:45"</f>
        <v>2018-10-19 19:28:45</v>
      </c>
      <c r="B895" s="1" t="str">
        <f>""</f>
        <v/>
      </c>
      <c r="C895" s="1" t="str">
        <f>"Tokugawa Judo Club"</f>
        <v>Tokugawa Judo Club</v>
      </c>
      <c r="D895" s="1" t="str">
        <f>"AB"</f>
        <v>AB</v>
      </c>
      <c r="E895" s="1" t="str">
        <f>"Alberta"</f>
        <v>Alberta</v>
      </c>
      <c r="F895" s="1" t="str">
        <f>"Alexander"</f>
        <v>Alexander</v>
      </c>
      <c r="G895" s="1" t="str">
        <f>"Wu"</f>
        <v>Wu</v>
      </c>
      <c r="H895" s="1" t="str">
        <f>"0170053"</f>
        <v>0170053</v>
      </c>
      <c r="I895" s="1" t="str">
        <f t="shared" si="123"/>
        <v>M</v>
      </c>
      <c r="J895" s="2">
        <v>2003</v>
      </c>
      <c r="K895" s="1" t="str">
        <f>"1k"</f>
        <v>1k</v>
      </c>
      <c r="L895" s="1" t="str">
        <f>"U18"</f>
        <v>U18</v>
      </c>
      <c r="M895" s="1" t="str">
        <f t="shared" si="124"/>
        <v>-66</v>
      </c>
      <c r="N895" s="1" t="str">
        <f>""</f>
        <v/>
      </c>
      <c r="O895" s="1">
        <v>1</v>
      </c>
      <c r="P895" s="1"/>
      <c r="Q895" t="s">
        <v>301</v>
      </c>
    </row>
    <row r="896" spans="1:17" x14ac:dyDescent="0.25">
      <c r="A896" t="str">
        <f>"2018-10-21 16:07:02"</f>
        <v>2018-10-21 16:07:02</v>
      </c>
      <c r="B896" s="1" t="str">
        <f>""</f>
        <v/>
      </c>
      <c r="C896" s="1" t="str">
        <f>"Asahi Judo Club"</f>
        <v>Asahi Judo Club</v>
      </c>
      <c r="D896" s="1" t="str">
        <f>"ON"</f>
        <v>ON</v>
      </c>
      <c r="E896" s="1" t="str">
        <f>"Ontario"</f>
        <v>Ontario</v>
      </c>
      <c r="F896" s="1" t="str">
        <f>"Emma"</f>
        <v>Emma</v>
      </c>
      <c r="G896" s="1" t="str">
        <f>"Blake"</f>
        <v>Blake</v>
      </c>
      <c r="H896" s="1" t="str">
        <f>"0175426"</f>
        <v>0175426</v>
      </c>
      <c r="I896" s="1" t="str">
        <f t="shared" ref="I896:I909" si="132">"F"</f>
        <v>F</v>
      </c>
      <c r="J896" s="2">
        <v>2004</v>
      </c>
      <c r="K896" s="1" t="str">
        <f>"1k"</f>
        <v>1k</v>
      </c>
      <c r="L896" s="1" t="s">
        <v>121</v>
      </c>
      <c r="M896" s="1" t="str">
        <f>"-70"</f>
        <v>-70</v>
      </c>
      <c r="N896" s="1" t="str">
        <f>"-70"</f>
        <v>-70</v>
      </c>
      <c r="O896" s="1">
        <v>2</v>
      </c>
      <c r="P896" s="1"/>
      <c r="Q896" t="s">
        <v>302</v>
      </c>
    </row>
    <row r="897" spans="1:17" x14ac:dyDescent="0.25">
      <c r="A897" t="str">
        <f>"2018-10-22 20:54:39"</f>
        <v>2018-10-22 20:54:39</v>
      </c>
      <c r="B897" s="1" t="str">
        <f>"2018-10-25 21:25:56"</f>
        <v>2018-10-25 21:25:56</v>
      </c>
      <c r="C897" s="1" t="str">
        <f>"Kokushikai Judo"</f>
        <v>Kokushikai Judo</v>
      </c>
      <c r="D897" s="1" t="str">
        <f>"BC"</f>
        <v>BC</v>
      </c>
      <c r="E897" s="1" t="str">
        <f>"British Columbia"</f>
        <v>British Columbia</v>
      </c>
      <c r="F897" s="1" t="str">
        <f>"Mira"</f>
        <v>Mira</v>
      </c>
      <c r="G897" s="1" t="str">
        <f>"Calder"</f>
        <v>Calder</v>
      </c>
      <c r="H897" s="1" t="str">
        <f>"0199248"</f>
        <v>0199248</v>
      </c>
      <c r="I897" s="1" t="str">
        <f t="shared" si="132"/>
        <v>F</v>
      </c>
      <c r="J897" s="2">
        <v>2004</v>
      </c>
      <c r="K897" s="1" t="str">
        <f>"2k"</f>
        <v>2k</v>
      </c>
      <c r="L897" s="1" t="s">
        <v>121</v>
      </c>
      <c r="M897" s="1" t="str">
        <f t="shared" ref="M897:M909" si="133">"-70"</f>
        <v>-70</v>
      </c>
      <c r="N897" s="1" t="str">
        <f>""</f>
        <v/>
      </c>
      <c r="O897" s="1">
        <v>2</v>
      </c>
      <c r="P897" s="1"/>
      <c r="Q897" t="s">
        <v>302</v>
      </c>
    </row>
    <row r="898" spans="1:17" x14ac:dyDescent="0.25">
      <c r="A898" t="str">
        <f>"2018-10-23 11:09:02"</f>
        <v>2018-10-23 11:09:02</v>
      </c>
      <c r="B898" s="1" t="str">
        <f>""</f>
        <v/>
      </c>
      <c r="C898" s="1" t="str">
        <f>"York Judo &amp; Bjjj"</f>
        <v>York Judo &amp; Bjjj</v>
      </c>
      <c r="D898" s="1" t="str">
        <f>"ON"</f>
        <v>ON</v>
      </c>
      <c r="E898" s="1" t="str">
        <f>"Ontario"</f>
        <v>Ontario</v>
      </c>
      <c r="F898" s="1" t="str">
        <f>"Bailey"</f>
        <v>Bailey</v>
      </c>
      <c r="G898" s="1" t="str">
        <f>"Doerfler"</f>
        <v>Doerfler</v>
      </c>
      <c r="H898" s="1" t="str">
        <f>"0208467"</f>
        <v>0208467</v>
      </c>
      <c r="I898" s="1" t="str">
        <f t="shared" si="132"/>
        <v>F</v>
      </c>
      <c r="J898" s="2">
        <v>2002</v>
      </c>
      <c r="K898" s="1" t="str">
        <f>"1k"</f>
        <v>1k</v>
      </c>
      <c r="L898" s="1" t="s">
        <v>121</v>
      </c>
      <c r="M898" s="1" t="str">
        <f t="shared" si="133"/>
        <v>-70</v>
      </c>
      <c r="N898" s="1" t="str">
        <f>""</f>
        <v/>
      </c>
      <c r="O898" s="1">
        <v>2</v>
      </c>
      <c r="P898" s="1"/>
      <c r="Q898" t="s">
        <v>302</v>
      </c>
    </row>
    <row r="899" spans="1:17" x14ac:dyDescent="0.25">
      <c r="A899" t="str">
        <f>"2018-10-24 14:45:56"</f>
        <v>2018-10-24 14:45:56</v>
      </c>
      <c r="B899" s="1" t="str">
        <f>""</f>
        <v/>
      </c>
      <c r="C899" s="1" t="str">
        <f>"Club de judo Lévis"</f>
        <v>Club de judo Lévis</v>
      </c>
      <c r="D899" s="1" t="str">
        <f>"QC"</f>
        <v>QC</v>
      </c>
      <c r="E899" s="1" t="str">
        <f>"Quebec"</f>
        <v>Quebec</v>
      </c>
      <c r="F899" s="1" t="str">
        <f>"Anne"</f>
        <v>Anne</v>
      </c>
      <c r="G899" s="1" t="str">
        <f>"Garneau"</f>
        <v>Garneau</v>
      </c>
      <c r="H899" s="1" t="str">
        <f>"0180119"</f>
        <v>0180119</v>
      </c>
      <c r="I899" s="1" t="str">
        <f t="shared" si="132"/>
        <v>F</v>
      </c>
      <c r="J899" s="2">
        <v>2003</v>
      </c>
      <c r="K899" s="1" t="str">
        <f>"1k"</f>
        <v>1k</v>
      </c>
      <c r="L899" s="1" t="str">
        <f>"U18"</f>
        <v>U18</v>
      </c>
      <c r="M899" s="1" t="str">
        <f t="shared" si="133"/>
        <v>-70</v>
      </c>
      <c r="N899" s="1" t="str">
        <f>""</f>
        <v/>
      </c>
      <c r="O899" s="1">
        <v>1</v>
      </c>
      <c r="P899" s="1"/>
      <c r="Q899" t="s">
        <v>302</v>
      </c>
    </row>
    <row r="900" spans="1:17" x14ac:dyDescent="0.25">
      <c r="A900" t="str">
        <f>"2018-10-19 17:43:48"</f>
        <v>2018-10-19 17:43:48</v>
      </c>
      <c r="B900" s="1" t="str">
        <f>""</f>
        <v/>
      </c>
      <c r="C900" s="1" t="str">
        <f>"Tech Judo"</f>
        <v>Tech Judo</v>
      </c>
      <c r="D900" s="1" t="s">
        <v>106</v>
      </c>
      <c r="E900" s="1" t="str">
        <f>"New Jersey  USA"</f>
        <v>New Jersey  USA</v>
      </c>
      <c r="F900" s="1" t="str">
        <f>"Ambar"</f>
        <v>Ambar</v>
      </c>
      <c r="G900" s="1" t="str">
        <f>"Graciani"</f>
        <v>Graciani</v>
      </c>
      <c r="H900" s="1" t="str">
        <f>"AutreFederation"</f>
        <v>AutreFederation</v>
      </c>
      <c r="I900" s="1" t="str">
        <f t="shared" si="132"/>
        <v>F</v>
      </c>
      <c r="J900" s="2">
        <v>2002</v>
      </c>
      <c r="K900" s="1" t="str">
        <f>"1k"</f>
        <v>1k</v>
      </c>
      <c r="L900" s="1" t="str">
        <f>"U18"</f>
        <v>U18</v>
      </c>
      <c r="M900" s="1" t="str">
        <f t="shared" si="133"/>
        <v>-70</v>
      </c>
      <c r="N900" s="1" t="str">
        <f>""</f>
        <v/>
      </c>
      <c r="O900" s="1">
        <v>1</v>
      </c>
      <c r="P900" s="1"/>
      <c r="Q900" t="s">
        <v>302</v>
      </c>
    </row>
    <row r="901" spans="1:17" x14ac:dyDescent="0.25">
      <c r="A901" t="str">
        <f>"2018-10-17 19:57:08"</f>
        <v>2018-10-17 19:57:08</v>
      </c>
      <c r="B901" s="1" t="str">
        <f>""</f>
        <v/>
      </c>
      <c r="C901" s="1" t="str">
        <f>"Kiyokan Judo Club"</f>
        <v>Kiyokan Judo Club</v>
      </c>
      <c r="D901" s="1" t="str">
        <f>"NB"</f>
        <v>NB</v>
      </c>
      <c r="E901" s="1" t="str">
        <f>"New Brunswick"</f>
        <v>New Brunswick</v>
      </c>
      <c r="F901" s="1" t="str">
        <f>"Keeley"</f>
        <v>Keeley</v>
      </c>
      <c r="G901" s="1" t="str">
        <f>"Hussey"</f>
        <v>Hussey</v>
      </c>
      <c r="H901" s="1" t="str">
        <f>"0158555"</f>
        <v>0158555</v>
      </c>
      <c r="I901" s="1" t="str">
        <f t="shared" si="132"/>
        <v>F</v>
      </c>
      <c r="J901" s="2">
        <v>2002</v>
      </c>
      <c r="K901" s="1" t="str">
        <f>"1k"</f>
        <v>1k</v>
      </c>
      <c r="L901" s="1" t="str">
        <f>"U18"</f>
        <v>U18</v>
      </c>
      <c r="M901" s="1" t="str">
        <f t="shared" si="133"/>
        <v>-70</v>
      </c>
      <c r="N901" s="1" t="str">
        <f>""</f>
        <v/>
      </c>
      <c r="O901" s="1">
        <v>1</v>
      </c>
      <c r="P901" s="1"/>
      <c r="Q901" t="s">
        <v>302</v>
      </c>
    </row>
    <row r="902" spans="1:17" x14ac:dyDescent="0.25">
      <c r="A902" t="str">
        <f>"2018-10-20 12:09:39"</f>
        <v>2018-10-20 12:09:39</v>
      </c>
      <c r="B902" s="1" t="str">
        <f>""</f>
        <v/>
      </c>
      <c r="C902" s="1" t="str">
        <f>"Campbell River Judo Club"</f>
        <v>Campbell River Judo Club</v>
      </c>
      <c r="D902" s="1" t="str">
        <f>"BC"</f>
        <v>BC</v>
      </c>
      <c r="E902" s="1" t="str">
        <f>"British Columbia"</f>
        <v>British Columbia</v>
      </c>
      <c r="F902" s="1" t="str">
        <f>"Yana"</f>
        <v>Yana</v>
      </c>
      <c r="G902" s="1" t="str">
        <f>"Jacobs"</f>
        <v>Jacobs</v>
      </c>
      <c r="H902" s="1" t="str">
        <f>"0233058"</f>
        <v>0233058</v>
      </c>
      <c r="I902" s="1" t="str">
        <f t="shared" si="132"/>
        <v>F</v>
      </c>
      <c r="J902" s="2">
        <v>2003</v>
      </c>
      <c r="K902" s="1" t="str">
        <f>"3k"</f>
        <v>3k</v>
      </c>
      <c r="L902" s="1" t="s">
        <v>121</v>
      </c>
      <c r="M902" s="1" t="str">
        <f t="shared" si="133"/>
        <v>-70</v>
      </c>
      <c r="N902" s="1" t="str">
        <f>""</f>
        <v/>
      </c>
      <c r="O902" s="1">
        <v>2</v>
      </c>
      <c r="P902" s="1"/>
      <c r="Q902" t="s">
        <v>302</v>
      </c>
    </row>
    <row r="903" spans="1:17" x14ac:dyDescent="0.25">
      <c r="A903" t="str">
        <f>"2018-10-12 16:06:40"</f>
        <v>2018-10-12 16:06:40</v>
      </c>
      <c r="B903" s="1" t="str">
        <f>""</f>
        <v/>
      </c>
      <c r="C903" s="1" t="str">
        <f>"Sheffield Judo Club"</f>
        <v>Sheffield Judo Club</v>
      </c>
      <c r="D903" s="1" t="str">
        <f>"ON"</f>
        <v>ON</v>
      </c>
      <c r="E903" s="1" t="str">
        <f>"Ontario"</f>
        <v>Ontario</v>
      </c>
      <c r="F903" s="1" t="str">
        <f>"Alexandria"</f>
        <v>Alexandria</v>
      </c>
      <c r="G903" s="1" t="str">
        <f>"Lefort"</f>
        <v>Lefort</v>
      </c>
      <c r="H903" s="1" t="str">
        <f>"0230939"</f>
        <v>0230939</v>
      </c>
      <c r="I903" s="1" t="str">
        <f t="shared" si="132"/>
        <v>F</v>
      </c>
      <c r="J903" s="2">
        <v>2002</v>
      </c>
      <c r="K903" s="1" t="str">
        <f>"1k"</f>
        <v>1k</v>
      </c>
      <c r="L903" s="1" t="s">
        <v>121</v>
      </c>
      <c r="M903" s="1" t="str">
        <f t="shared" si="133"/>
        <v>-70</v>
      </c>
      <c r="N903" s="1" t="str">
        <f>""</f>
        <v/>
      </c>
      <c r="O903" s="1">
        <v>2</v>
      </c>
      <c r="P903" s="1"/>
      <c r="Q903" t="s">
        <v>302</v>
      </c>
    </row>
    <row r="904" spans="1:17" x14ac:dyDescent="0.25">
      <c r="A904" t="str">
        <f>"2018-10-05 15:23:42"</f>
        <v>2018-10-05 15:23:42</v>
      </c>
      <c r="B904" s="1" t="str">
        <f>""</f>
        <v/>
      </c>
      <c r="C904" s="1" t="str">
        <f>"Club judokas Jonquière inc."</f>
        <v>Club judokas Jonquière inc.</v>
      </c>
      <c r="D904" s="1" t="str">
        <f>"QC"</f>
        <v>QC</v>
      </c>
      <c r="E904" s="1" t="str">
        <f>"Quebec"</f>
        <v>Quebec</v>
      </c>
      <c r="F904" s="1" t="str">
        <f>"Cassandra"</f>
        <v>Cassandra</v>
      </c>
      <c r="G904" s="1" t="str">
        <f>"Manil"</f>
        <v>Manil</v>
      </c>
      <c r="H904" s="1" t="str">
        <f>"0184288"</f>
        <v>0184288</v>
      </c>
      <c r="I904" s="1" t="str">
        <f t="shared" si="132"/>
        <v>F</v>
      </c>
      <c r="J904" s="2">
        <v>2003</v>
      </c>
      <c r="K904" s="1" t="str">
        <f>"2k+"</f>
        <v>2k+</v>
      </c>
      <c r="L904" s="1" t="str">
        <f>"U18"</f>
        <v>U18</v>
      </c>
      <c r="M904" s="1" t="str">
        <f t="shared" si="133"/>
        <v>-70</v>
      </c>
      <c r="N904" s="1" t="str">
        <f>""</f>
        <v/>
      </c>
      <c r="O904" s="1">
        <v>1</v>
      </c>
      <c r="P904" s="1"/>
      <c r="Q904" t="s">
        <v>302</v>
      </c>
    </row>
    <row r="905" spans="1:17" x14ac:dyDescent="0.25">
      <c r="A905" t="str">
        <f>"2018-10-19 16:52:57"</f>
        <v>2018-10-19 16:52:57</v>
      </c>
      <c r="B905" s="1" t="str">
        <f>""</f>
        <v/>
      </c>
      <c r="C905" s="1" t="str">
        <f>"Challenge Sports Club"</f>
        <v>Challenge Sports Club</v>
      </c>
      <c r="D905" s="1" t="str">
        <f>"ON"</f>
        <v>ON</v>
      </c>
      <c r="E905" s="1" t="str">
        <f>"Ontario"</f>
        <v>Ontario</v>
      </c>
      <c r="F905" s="1" t="str">
        <f>"Ekaterina"</f>
        <v>Ekaterina</v>
      </c>
      <c r="G905" s="1" t="str">
        <f>"Mozhaev"</f>
        <v>Mozhaev</v>
      </c>
      <c r="H905" s="1" t="str">
        <f>"0226596"</f>
        <v>0226596</v>
      </c>
      <c r="I905" s="1" t="str">
        <f t="shared" si="132"/>
        <v>F</v>
      </c>
      <c r="J905" s="2">
        <v>2003</v>
      </c>
      <c r="K905" s="1" t="str">
        <f>"2k"</f>
        <v>2k</v>
      </c>
      <c r="L905" s="1" t="str">
        <f>"U18"</f>
        <v>U18</v>
      </c>
      <c r="M905" s="1" t="str">
        <f t="shared" si="133"/>
        <v>-70</v>
      </c>
      <c r="N905" s="1" t="str">
        <f>""</f>
        <v/>
      </c>
      <c r="O905" s="1">
        <v>1</v>
      </c>
      <c r="P905" s="1"/>
      <c r="Q905" t="s">
        <v>302</v>
      </c>
    </row>
    <row r="906" spans="1:17" x14ac:dyDescent="0.25">
      <c r="A906" t="str">
        <f>"2018-10-19 17:43:48"</f>
        <v>2018-10-19 17:43:48</v>
      </c>
      <c r="B906" s="1" t="str">
        <f>""</f>
        <v/>
      </c>
      <c r="C906" s="1" t="str">
        <f>"Kam Lake Territorial Centre"</f>
        <v>Kam Lake Territorial Centre</v>
      </c>
      <c r="D906" s="1" t="str">
        <f>"NT"</f>
        <v>NT</v>
      </c>
      <c r="E906" s="1" t="str">
        <f>"Northwest Territories"</f>
        <v>Northwest Territories</v>
      </c>
      <c r="F906" s="1" t="str">
        <f>"Jenna"</f>
        <v>Jenna</v>
      </c>
      <c r="G906" s="1" t="str">
        <f>"Nystrom"</f>
        <v>Nystrom</v>
      </c>
      <c r="H906" s="1" t="str">
        <f>"0212822"</f>
        <v>0212822</v>
      </c>
      <c r="I906" s="1" t="str">
        <f t="shared" si="132"/>
        <v>F</v>
      </c>
      <c r="J906" s="2">
        <v>2003</v>
      </c>
      <c r="K906" s="1" t="str">
        <f>"3k"</f>
        <v>3k</v>
      </c>
      <c r="L906" s="1" t="str">
        <f>"U18"</f>
        <v>U18</v>
      </c>
      <c r="M906" s="1" t="str">
        <f t="shared" si="133"/>
        <v>-70</v>
      </c>
      <c r="N906" s="1" t="str">
        <f>""</f>
        <v/>
      </c>
      <c r="O906" s="1">
        <v>1</v>
      </c>
      <c r="P906" s="1"/>
      <c r="Q906" t="s">
        <v>302</v>
      </c>
    </row>
    <row r="907" spans="1:17" x14ac:dyDescent="0.25">
      <c r="A907" t="str">
        <f>"2018-10-25 17:41:07"</f>
        <v>2018-10-25 17:41:07</v>
      </c>
      <c r="B907" s="1" t="str">
        <f>""</f>
        <v/>
      </c>
      <c r="C907" s="1" t="str">
        <f>"Kodokwai Judo Club"</f>
        <v>Kodokwai Judo Club</v>
      </c>
      <c r="D907" s="1" t="str">
        <f>"AB"</f>
        <v>AB</v>
      </c>
      <c r="E907" s="1" t="str">
        <f>"Alberta"</f>
        <v>Alberta</v>
      </c>
      <c r="F907" s="1" t="str">
        <f>"Julia"</f>
        <v>Julia</v>
      </c>
      <c r="G907" s="1" t="str">
        <f>"Sergeeva"</f>
        <v>Sergeeva</v>
      </c>
      <c r="H907" s="1" t="str">
        <f>"0173074"</f>
        <v>0173074</v>
      </c>
      <c r="I907" s="1" t="str">
        <f t="shared" si="132"/>
        <v>F</v>
      </c>
      <c r="J907" s="2">
        <v>2002</v>
      </c>
      <c r="K907" s="1" t="str">
        <f>"1k"</f>
        <v>1k</v>
      </c>
      <c r="L907" s="1" t="s">
        <v>121</v>
      </c>
      <c r="M907" s="1" t="str">
        <f t="shared" si="133"/>
        <v>-70</v>
      </c>
      <c r="N907" s="1" t="str">
        <f>""</f>
        <v/>
      </c>
      <c r="O907" s="1">
        <v>2</v>
      </c>
      <c r="P907" s="1"/>
      <c r="Q907" t="s">
        <v>302</v>
      </c>
    </row>
    <row r="908" spans="1:17" x14ac:dyDescent="0.25">
      <c r="A908" t="str">
        <f>"2018-10-22 20:54:39"</f>
        <v>2018-10-22 20:54:39</v>
      </c>
      <c r="B908" s="1" t="str">
        <f>""</f>
        <v/>
      </c>
      <c r="C908" s="1" t="str">
        <f>"S.C.Corinthians"</f>
        <v>S.C.Corinthians</v>
      </c>
      <c r="D908" s="1" t="s">
        <v>164</v>
      </c>
      <c r="E908" s="1" t="str">
        <f>"Brazil"</f>
        <v>Brazil</v>
      </c>
      <c r="F908" s="1" t="str">
        <f>"Beatriz"</f>
        <v>Beatriz</v>
      </c>
      <c r="G908" s="1" t="str">
        <f>"Silva"</f>
        <v>Silva</v>
      </c>
      <c r="H908" s="1" t="str">
        <f>"AutreFederation"</f>
        <v>AutreFederation</v>
      </c>
      <c r="I908" s="1" t="str">
        <f t="shared" si="132"/>
        <v>F</v>
      </c>
      <c r="J908" s="2">
        <v>2003</v>
      </c>
      <c r="K908" s="1" t="str">
        <f>"2k"</f>
        <v>2k</v>
      </c>
      <c r="L908" s="1" t="str">
        <f>"U18"</f>
        <v>U18</v>
      </c>
      <c r="M908" s="1" t="str">
        <f t="shared" si="133"/>
        <v>-70</v>
      </c>
      <c r="N908" s="1" t="str">
        <f>""</f>
        <v/>
      </c>
      <c r="O908" s="1">
        <v>1</v>
      </c>
      <c r="P908" s="1"/>
      <c r="Q908" t="s">
        <v>302</v>
      </c>
    </row>
    <row r="909" spans="1:17" x14ac:dyDescent="0.25">
      <c r="A909" t="str">
        <f>"2018-10-21 08:06:46"</f>
        <v>2018-10-21 08:06:46</v>
      </c>
      <c r="B909" s="1" t="str">
        <f>""</f>
        <v/>
      </c>
      <c r="C909" s="1" t="str">
        <f>"Club de judo Torakai"</f>
        <v>Club de judo Torakai</v>
      </c>
      <c r="D909" s="1" t="str">
        <f>"QC"</f>
        <v>QC</v>
      </c>
      <c r="E909" s="1" t="str">
        <f>"Québec"</f>
        <v>Québec</v>
      </c>
      <c r="F909" s="1" t="str">
        <f>"Miranda"</f>
        <v>Miranda</v>
      </c>
      <c r="G909" s="1" t="str">
        <f>"St-Laurent"</f>
        <v>St-Laurent</v>
      </c>
      <c r="H909" s="1" t="str">
        <f>"0186242"</f>
        <v>0186242</v>
      </c>
      <c r="I909" s="1" t="str">
        <f t="shared" si="132"/>
        <v>F</v>
      </c>
      <c r="J909" s="2">
        <v>2003</v>
      </c>
      <c r="K909" s="1" t="str">
        <f>"1k"</f>
        <v>1k</v>
      </c>
      <c r="L909" s="1" t="str">
        <f>"U18"</f>
        <v>U18</v>
      </c>
      <c r="M909" s="1" t="str">
        <f t="shared" si="133"/>
        <v>-70</v>
      </c>
      <c r="N909" s="1" t="str">
        <f>""</f>
        <v/>
      </c>
      <c r="O909" s="1">
        <v>1</v>
      </c>
      <c r="P909" s="1"/>
      <c r="Q909" t="s">
        <v>302</v>
      </c>
    </row>
    <row r="910" spans="1:17" x14ac:dyDescent="0.25">
      <c r="A910" t="str">
        <f>"2018-10-16 19:44:45"</f>
        <v>2018-10-16 19:44:45</v>
      </c>
      <c r="B910" s="1" t="str">
        <f>""</f>
        <v/>
      </c>
      <c r="C910" s="1" t="str">
        <f>"West Kildonan Judo Club"</f>
        <v>West Kildonan Judo Club</v>
      </c>
      <c r="D910" s="1" t="str">
        <f>"MB"</f>
        <v>MB</v>
      </c>
      <c r="E910" s="1" t="str">
        <f>"Manitoba"</f>
        <v>Manitoba</v>
      </c>
      <c r="F910" s="1" t="str">
        <f>"Michael"</f>
        <v>Michael</v>
      </c>
      <c r="G910" s="1" t="str">
        <f>"Akbashev"</f>
        <v>Akbashev</v>
      </c>
      <c r="H910" s="1" t="str">
        <f>"0225386"</f>
        <v>0225386</v>
      </c>
      <c r="I910" s="1" t="str">
        <f t="shared" ref="I910:I955" si="134">"M"</f>
        <v>M</v>
      </c>
      <c r="J910" s="2">
        <v>2003</v>
      </c>
      <c r="K910" s="1" t="str">
        <f>"1k"</f>
        <v>1k</v>
      </c>
      <c r="L910" s="1" t="s">
        <v>121</v>
      </c>
      <c r="M910" s="1" t="str">
        <f t="shared" ref="M910:M938" si="135">"-73"</f>
        <v>-73</v>
      </c>
      <c r="N910" s="1" t="str">
        <f>""</f>
        <v/>
      </c>
      <c r="O910" s="1">
        <v>2</v>
      </c>
      <c r="P910" s="1"/>
      <c r="Q910" t="s">
        <v>303</v>
      </c>
    </row>
    <row r="911" spans="1:17" x14ac:dyDescent="0.25">
      <c r="B911" s="1" t="str">
        <f>""</f>
        <v/>
      </c>
      <c r="C911" s="1" t="str">
        <f>"Olympic Judo Centre"</f>
        <v>Olympic Judo Centre</v>
      </c>
      <c r="D911" s="1" t="s">
        <v>27</v>
      </c>
      <c r="E911" s="1" t="str">
        <f>"Ontario"</f>
        <v>Ontario</v>
      </c>
      <c r="F911" s="1" t="str">
        <f>"Ruslan"</f>
        <v>Ruslan</v>
      </c>
      <c r="G911" s="1" t="str">
        <f>"Akhmejanov"</f>
        <v>Akhmejanov</v>
      </c>
      <c r="H911" s="1" t="str">
        <f>"0410867"</f>
        <v>0410867</v>
      </c>
      <c r="I911" s="1" t="str">
        <f t="shared" si="134"/>
        <v>M</v>
      </c>
      <c r="J911" s="1">
        <v>2002</v>
      </c>
      <c r="K911" s="1" t="s">
        <v>80</v>
      </c>
      <c r="L911" s="1" t="str">
        <f>"U18"</f>
        <v>U18</v>
      </c>
      <c r="M911" s="1" t="str">
        <f t="shared" si="135"/>
        <v>-73</v>
      </c>
      <c r="N911" s="1" t="str">
        <f>""</f>
        <v/>
      </c>
      <c r="O911" s="1"/>
      <c r="P911" s="1"/>
      <c r="Q911" t="s">
        <v>303</v>
      </c>
    </row>
    <row r="912" spans="1:17" x14ac:dyDescent="0.25">
      <c r="A912" t="str">
        <f>"2018-10-24 21:26:54"</f>
        <v>2018-10-24 21:26:54</v>
      </c>
      <c r="B912" s="1" t="str">
        <f>""</f>
        <v/>
      </c>
      <c r="C912" s="1" t="str">
        <f>"Club de Judo et de Ju-Jitsu Juvaldo inc."</f>
        <v>Club de Judo et de Ju-Jitsu Juvaldo inc.</v>
      </c>
      <c r="D912" s="1" t="str">
        <f>"QC"</f>
        <v>QC</v>
      </c>
      <c r="E912" s="1" t="str">
        <f>"Québec"</f>
        <v>Québec</v>
      </c>
      <c r="F912" s="1" t="str">
        <f>"Éliot"</f>
        <v>Éliot</v>
      </c>
      <c r="G912" s="1" t="str">
        <f>"Allaire"</f>
        <v>Allaire</v>
      </c>
      <c r="H912" s="1" t="str">
        <f>"AutreFederation"</f>
        <v>AutreFederation</v>
      </c>
      <c r="I912" s="1" t="str">
        <f t="shared" si="134"/>
        <v>M</v>
      </c>
      <c r="J912" s="2">
        <v>2002</v>
      </c>
      <c r="K912" s="1" t="str">
        <f>"1k"</f>
        <v>1k</v>
      </c>
      <c r="L912" s="1" t="s">
        <v>121</v>
      </c>
      <c r="M912" s="1" t="str">
        <f t="shared" si="135"/>
        <v>-73</v>
      </c>
      <c r="N912" s="1" t="str">
        <f>""</f>
        <v/>
      </c>
      <c r="O912" s="1">
        <v>2</v>
      </c>
      <c r="P912" s="1"/>
      <c r="Q912" t="s">
        <v>303</v>
      </c>
    </row>
    <row r="913" spans="1:17" x14ac:dyDescent="0.25">
      <c r="A913" t="str">
        <f>"2018-10-21 21:45:40"</f>
        <v>2018-10-21 21:45:40</v>
      </c>
      <c r="B913" s="1" t="str">
        <f>""</f>
        <v/>
      </c>
      <c r="C913" s="1" t="str">
        <f>"Club de judo Shidokan inc."</f>
        <v>Club de judo Shidokan inc.</v>
      </c>
      <c r="D913" s="1" t="str">
        <f>"QC"</f>
        <v>QC</v>
      </c>
      <c r="E913" s="1" t="str">
        <f>"Quebec"</f>
        <v>Quebec</v>
      </c>
      <c r="F913" s="1" t="str">
        <f>"Ivan"</f>
        <v>Ivan</v>
      </c>
      <c r="G913" s="1" t="str">
        <f>"Arapovic"</f>
        <v>Arapovic</v>
      </c>
      <c r="H913" s="1" t="str">
        <f>"0165794"</f>
        <v>0165794</v>
      </c>
      <c r="I913" s="1" t="str">
        <f t="shared" si="134"/>
        <v>M</v>
      </c>
      <c r="J913" s="2">
        <v>2002</v>
      </c>
      <c r="K913" s="1" t="str">
        <f>"2k"</f>
        <v>2k</v>
      </c>
      <c r="L913" s="1" t="str">
        <f>"U18"</f>
        <v>U18</v>
      </c>
      <c r="M913" s="1" t="str">
        <f t="shared" si="135"/>
        <v>-73</v>
      </c>
      <c r="N913" s="1" t="str">
        <f>""</f>
        <v/>
      </c>
      <c r="O913" s="1">
        <v>1</v>
      </c>
      <c r="P913" s="1"/>
      <c r="Q913" t="s">
        <v>303</v>
      </c>
    </row>
    <row r="914" spans="1:17" x14ac:dyDescent="0.25">
      <c r="A914" t="str">
        <f>"2018-10-13 13:19:33"</f>
        <v>2018-10-13 13:19:33</v>
      </c>
      <c r="B914" s="1" t="str">
        <f>""</f>
        <v/>
      </c>
      <c r="C914" s="1" t="str">
        <f>"Asahi Judo Club"</f>
        <v>Asahi Judo Club</v>
      </c>
      <c r="D914" s="1" t="str">
        <f>"ON"</f>
        <v>ON</v>
      </c>
      <c r="E914" s="1" t="str">
        <f>"Ontario"</f>
        <v>Ontario</v>
      </c>
      <c r="F914" s="1" t="str">
        <f>"Aiden"</f>
        <v>Aiden</v>
      </c>
      <c r="G914" s="1" t="str">
        <f>"Barclay"</f>
        <v>Barclay</v>
      </c>
      <c r="H914" s="1" t="str">
        <f>"0180142"</f>
        <v>0180142</v>
      </c>
      <c r="I914" s="1" t="str">
        <f t="shared" si="134"/>
        <v>M</v>
      </c>
      <c r="J914" s="2">
        <v>2003</v>
      </c>
      <c r="K914" s="1" t="str">
        <f>"1k"</f>
        <v>1k</v>
      </c>
      <c r="L914" s="1" t="str">
        <f>"U18"</f>
        <v>U18</v>
      </c>
      <c r="M914" s="1" t="str">
        <f t="shared" si="135"/>
        <v>-73</v>
      </c>
      <c r="N914" s="1" t="str">
        <f>""</f>
        <v/>
      </c>
      <c r="O914" s="1">
        <v>1</v>
      </c>
      <c r="P914" s="1"/>
      <c r="Q914" t="s">
        <v>303</v>
      </c>
    </row>
    <row r="915" spans="1:17" x14ac:dyDescent="0.25">
      <c r="A915" t="str">
        <f>"2018-10-21 22:08:26"</f>
        <v>2018-10-21 22:08:26</v>
      </c>
      <c r="B915" s="1" t="str">
        <f>""</f>
        <v/>
      </c>
      <c r="C915" s="1" t="str">
        <f>"Club de judo Shidokan inc."</f>
        <v>Club de judo Shidokan inc.</v>
      </c>
      <c r="D915" s="1" t="str">
        <f>"QC"</f>
        <v>QC</v>
      </c>
      <c r="E915" s="1" t="str">
        <f>"Québec (Canada)"</f>
        <v>Québec (Canada)</v>
      </c>
      <c r="F915" s="1" t="str">
        <f>"Munkhjin"</f>
        <v>Munkhjin</v>
      </c>
      <c r="G915" s="1" t="str">
        <f>"Batdorj"</f>
        <v>Batdorj</v>
      </c>
      <c r="H915" s="1" t="str">
        <f>"0181144"</f>
        <v>0181144</v>
      </c>
      <c r="I915" s="1" t="str">
        <f t="shared" si="134"/>
        <v>M</v>
      </c>
      <c r="J915" s="2">
        <v>2004</v>
      </c>
      <c r="K915" s="1" t="str">
        <f>"1k"</f>
        <v>1k</v>
      </c>
      <c r="L915" s="1" t="s">
        <v>121</v>
      </c>
      <c r="M915" s="1" t="str">
        <f t="shared" si="135"/>
        <v>-73</v>
      </c>
      <c r="N915" s="1" t="str">
        <f>""</f>
        <v/>
      </c>
      <c r="O915" s="1">
        <v>2</v>
      </c>
      <c r="P915" s="1"/>
      <c r="Q915" t="s">
        <v>303</v>
      </c>
    </row>
    <row r="916" spans="1:17" x14ac:dyDescent="0.25">
      <c r="A916" t="str">
        <f>"2018-09-26 13:23:37"</f>
        <v>2018-09-26 13:23:37</v>
      </c>
      <c r="B916" s="1" t="str">
        <f>""</f>
        <v/>
      </c>
      <c r="C916" s="1" t="str">
        <f>"Club de judo Torii"</f>
        <v>Club de judo Torii</v>
      </c>
      <c r="D916" s="1" t="str">
        <f>"QC"</f>
        <v>QC</v>
      </c>
      <c r="E916" s="1" t="str">
        <f>"Quebec"</f>
        <v>Quebec</v>
      </c>
      <c r="F916" s="1" t="str">
        <f>"Mehdi"</f>
        <v>Mehdi</v>
      </c>
      <c r="G916" s="1" t="str">
        <f>"Boumezbeur"</f>
        <v>Boumezbeur</v>
      </c>
      <c r="H916" s="1" t="str">
        <f>"0156663"</f>
        <v>0156663</v>
      </c>
      <c r="I916" s="1" t="str">
        <f t="shared" si="134"/>
        <v>M</v>
      </c>
      <c r="J916" s="2">
        <v>2002</v>
      </c>
      <c r="K916" s="1" t="str">
        <f>"3k"</f>
        <v>3k</v>
      </c>
      <c r="L916" s="1" t="str">
        <f>"U18"</f>
        <v>U18</v>
      </c>
      <c r="M916" s="1" t="str">
        <f t="shared" si="135"/>
        <v>-73</v>
      </c>
      <c r="N916" s="1" t="str">
        <f>""</f>
        <v/>
      </c>
      <c r="O916" s="1">
        <v>1</v>
      </c>
      <c r="P916" s="1"/>
      <c r="Q916" t="s">
        <v>303</v>
      </c>
    </row>
    <row r="917" spans="1:17" x14ac:dyDescent="0.25">
      <c r="A917" t="str">
        <f>"2018-10-24 21:35:59"</f>
        <v>2018-10-24 21:35:59</v>
      </c>
      <c r="B917" s="1" t="str">
        <f>""</f>
        <v/>
      </c>
      <c r="C917" s="1" t="str">
        <f>"Club de judo St-Jean Bosco de Hull"</f>
        <v>Club de judo St-Jean Bosco de Hull</v>
      </c>
      <c r="D917" s="1" t="str">
        <f>"QC"</f>
        <v>QC</v>
      </c>
      <c r="E917" s="1" t="str">
        <f>"Quebec"</f>
        <v>Quebec</v>
      </c>
      <c r="F917" s="1" t="str">
        <f>"Alexis"</f>
        <v>Alexis</v>
      </c>
      <c r="G917" s="1" t="str">
        <f>"Boutin"</f>
        <v>Boutin</v>
      </c>
      <c r="H917" s="1" t="str">
        <f>"0190027"</f>
        <v>0190027</v>
      </c>
      <c r="I917" s="1" t="str">
        <f t="shared" si="134"/>
        <v>M</v>
      </c>
      <c r="J917" s="2">
        <v>2003</v>
      </c>
      <c r="K917" s="1" t="str">
        <f>"1k"</f>
        <v>1k</v>
      </c>
      <c r="L917" s="1" t="str">
        <f>"U18"</f>
        <v>U18</v>
      </c>
      <c r="M917" s="1" t="str">
        <f t="shared" si="135"/>
        <v>-73</v>
      </c>
      <c r="N917" s="1" t="str">
        <f>""</f>
        <v/>
      </c>
      <c r="O917" s="1">
        <v>1</v>
      </c>
      <c r="P917" s="1"/>
      <c r="Q917" t="s">
        <v>303</v>
      </c>
    </row>
    <row r="918" spans="1:17" x14ac:dyDescent="0.25">
      <c r="A918" t="str">
        <f>"2018-10-19 17:43:48"</f>
        <v>2018-10-19 17:43:48</v>
      </c>
      <c r="B918" s="1" t="str">
        <f>""</f>
        <v/>
      </c>
      <c r="C918" s="1" t="str">
        <f>"Upper Canada Judo Club"</f>
        <v>Upper Canada Judo Club</v>
      </c>
      <c r="D918" s="1" t="str">
        <f>"ON"</f>
        <v>ON</v>
      </c>
      <c r="E918" s="1" t="str">
        <f>"Ontario"</f>
        <v>Ontario</v>
      </c>
      <c r="F918" s="1" t="str">
        <f>"Benjamin"</f>
        <v>Benjamin</v>
      </c>
      <c r="G918" s="1" t="str">
        <f>"Burt"</f>
        <v>Burt</v>
      </c>
      <c r="H918" s="1" t="str">
        <f>"0151862"</f>
        <v>0151862</v>
      </c>
      <c r="I918" s="1" t="str">
        <f t="shared" si="134"/>
        <v>M</v>
      </c>
      <c r="J918" s="2">
        <v>2002</v>
      </c>
      <c r="K918" s="1" t="str">
        <f>"1k"</f>
        <v>1k</v>
      </c>
      <c r="L918" s="1" t="str">
        <f>"U18"</f>
        <v>U18</v>
      </c>
      <c r="M918" s="1" t="str">
        <f t="shared" si="135"/>
        <v>-73</v>
      </c>
      <c r="N918" s="1" t="str">
        <f>""</f>
        <v/>
      </c>
      <c r="O918" s="1">
        <v>1</v>
      </c>
      <c r="P918" s="1"/>
      <c r="Q918" t="s">
        <v>303</v>
      </c>
    </row>
    <row r="919" spans="1:17" x14ac:dyDescent="0.25">
      <c r="A919" t="str">
        <f>"2018-09-26 17:36:25"</f>
        <v>2018-09-26 17:36:25</v>
      </c>
      <c r="B919" s="1" t="str">
        <f>""</f>
        <v/>
      </c>
      <c r="C919" s="1" t="str">
        <f>"Toronto Judo Kai"</f>
        <v>Toronto Judo Kai</v>
      </c>
      <c r="D919" s="1" t="str">
        <f>"ON"</f>
        <v>ON</v>
      </c>
      <c r="E919" s="1" t="str">
        <f>"Ontario"</f>
        <v>Ontario</v>
      </c>
      <c r="F919" s="1" t="str">
        <f>"Bogdan"</f>
        <v>Bogdan</v>
      </c>
      <c r="G919" s="1" t="str">
        <f>"Cherkashyn"</f>
        <v>Cherkashyn</v>
      </c>
      <c r="H919" s="1" t="str">
        <f>"0212745"</f>
        <v>0212745</v>
      </c>
      <c r="I919" s="1" t="str">
        <f t="shared" si="134"/>
        <v>M</v>
      </c>
      <c r="J919" s="2">
        <v>2003</v>
      </c>
      <c r="K919" s="1" t="str">
        <f>"2k"</f>
        <v>2k</v>
      </c>
      <c r="L919" s="1" t="str">
        <f>"U18"</f>
        <v>U18</v>
      </c>
      <c r="M919" s="1" t="str">
        <f t="shared" si="135"/>
        <v>-73</v>
      </c>
      <c r="N919" s="1" t="str">
        <f>""</f>
        <v/>
      </c>
      <c r="O919" s="1">
        <v>1</v>
      </c>
      <c r="P919" s="1"/>
      <c r="Q919" t="s">
        <v>303</v>
      </c>
    </row>
    <row r="920" spans="1:17" x14ac:dyDescent="0.25">
      <c r="A920" t="str">
        <f>"2018-10-20 17:36:16"</f>
        <v>2018-10-20 17:36:16</v>
      </c>
      <c r="B920" s="1" t="str">
        <f>""</f>
        <v/>
      </c>
      <c r="C920" s="1" t="str">
        <f>"Kodokwai Judo Club"</f>
        <v>Kodokwai Judo Club</v>
      </c>
      <c r="D920" s="1" t="str">
        <f>"AB"</f>
        <v>AB</v>
      </c>
      <c r="E920" s="1" t="str">
        <f>"Alberta"</f>
        <v>Alberta</v>
      </c>
      <c r="F920" s="1" t="str">
        <f>"Brett"</f>
        <v>Brett</v>
      </c>
      <c r="G920" s="1" t="str">
        <f>"Dudar"</f>
        <v>Dudar</v>
      </c>
      <c r="H920" s="1" t="str">
        <f>"0209153"</f>
        <v>0209153</v>
      </c>
      <c r="I920" s="1" t="str">
        <f t="shared" si="134"/>
        <v>M</v>
      </c>
      <c r="J920" s="2">
        <v>2002</v>
      </c>
      <c r="K920" s="1" t="str">
        <f>"2k"</f>
        <v>2k</v>
      </c>
      <c r="L920" s="1" t="s">
        <v>121</v>
      </c>
      <c r="M920" s="1" t="str">
        <f t="shared" si="135"/>
        <v>-73</v>
      </c>
      <c r="N920" s="1" t="str">
        <f>"-73 kg"</f>
        <v>-73 kg</v>
      </c>
      <c r="O920" s="1">
        <v>2</v>
      </c>
      <c r="P920" s="1"/>
      <c r="Q920" t="s">
        <v>303</v>
      </c>
    </row>
    <row r="921" spans="1:17" x14ac:dyDescent="0.25">
      <c r="A921" t="str">
        <f>"2018-10-24 18:08:06"</f>
        <v>2018-10-24 18:08:06</v>
      </c>
      <c r="B921" s="1" t="str">
        <f>""</f>
        <v/>
      </c>
      <c r="C921" s="1" t="str">
        <f>"Judo Univestri/donini"</f>
        <v>Judo Univestri/donini</v>
      </c>
      <c r="D921" s="1" t="str">
        <f>"QC"</f>
        <v>QC</v>
      </c>
      <c r="E921" s="1" t="str">
        <f>"Quebec"</f>
        <v>Quebec</v>
      </c>
      <c r="F921" s="1" t="str">
        <f>"Kyle"</f>
        <v>Kyle</v>
      </c>
      <c r="G921" s="1" t="str">
        <f>"Fortin"</f>
        <v>Fortin</v>
      </c>
      <c r="H921" s="1" t="str">
        <f>"0176018"</f>
        <v>0176018</v>
      </c>
      <c r="I921" s="1" t="str">
        <f t="shared" si="134"/>
        <v>M</v>
      </c>
      <c r="J921" s="2">
        <v>2002</v>
      </c>
      <c r="K921" s="1" t="str">
        <f>"1k"</f>
        <v>1k</v>
      </c>
      <c r="L921" s="1" t="str">
        <f>"U18"</f>
        <v>U18</v>
      </c>
      <c r="M921" s="1" t="str">
        <f t="shared" si="135"/>
        <v>-73</v>
      </c>
      <c r="N921" s="1" t="str">
        <f>""</f>
        <v/>
      </c>
      <c r="O921" s="1">
        <v>1</v>
      </c>
      <c r="P921" s="1"/>
      <c r="Q921" t="s">
        <v>303</v>
      </c>
    </row>
    <row r="922" spans="1:17" x14ac:dyDescent="0.25">
      <c r="A922" t="str">
        <f>"2018-10-21 22:12:20"</f>
        <v>2018-10-21 22:12:20</v>
      </c>
      <c r="B922" s="1" t="str">
        <f>""</f>
        <v/>
      </c>
      <c r="C922" s="1" t="str">
        <f>"Dojo Zenshin"</f>
        <v>Dojo Zenshin</v>
      </c>
      <c r="D922" s="1" t="str">
        <f>"QC"</f>
        <v>QC</v>
      </c>
      <c r="E922" s="1" t="str">
        <f>"Quebec"</f>
        <v>Quebec</v>
      </c>
      <c r="F922" s="1" t="str">
        <f>"Alec"</f>
        <v>Alec</v>
      </c>
      <c r="G922" s="1" t="str">
        <f>"Garand"</f>
        <v>Garand</v>
      </c>
      <c r="H922" s="1" t="str">
        <f>"0169892"</f>
        <v>0169892</v>
      </c>
      <c r="I922" s="1" t="str">
        <f t="shared" si="134"/>
        <v>M</v>
      </c>
      <c r="J922" s="2">
        <v>2003</v>
      </c>
      <c r="K922" s="1" t="str">
        <f>"1k"</f>
        <v>1k</v>
      </c>
      <c r="L922" s="1" t="str">
        <f>"U18"</f>
        <v>U18</v>
      </c>
      <c r="M922" s="1" t="str">
        <f t="shared" si="135"/>
        <v>-73</v>
      </c>
      <c r="N922" s="1" t="str">
        <f>""</f>
        <v/>
      </c>
      <c r="O922" s="1">
        <v>1</v>
      </c>
      <c r="P922" s="1"/>
      <c r="Q922" t="s">
        <v>303</v>
      </c>
    </row>
    <row r="923" spans="1:17" x14ac:dyDescent="0.25">
      <c r="A923" t="str">
        <f>"2018-10-17 14:35:59"</f>
        <v>2018-10-17 14:35:59</v>
      </c>
      <c r="B923" s="1" t="str">
        <f>""</f>
        <v/>
      </c>
      <c r="C923" s="1" t="str">
        <f>"Club de Judo et de Ju-Jitsu Juvaldo inc."</f>
        <v>Club de Judo et de Ju-Jitsu Juvaldo inc.</v>
      </c>
      <c r="D923" s="1" t="str">
        <f>"QC"</f>
        <v>QC</v>
      </c>
      <c r="E923" s="1" t="str">
        <f>"Quebec"</f>
        <v>Quebec</v>
      </c>
      <c r="F923" s="1" t="str">
        <f>"Guillaume"</f>
        <v>Guillaume</v>
      </c>
      <c r="G923" s="1" t="str">
        <f>"Gaulin"</f>
        <v>Gaulin</v>
      </c>
      <c r="H923" s="1" t="str">
        <f>"0138661"</f>
        <v>0138661</v>
      </c>
      <c r="I923" s="1" t="str">
        <f t="shared" si="134"/>
        <v>M</v>
      </c>
      <c r="J923" s="2">
        <v>2002</v>
      </c>
      <c r="K923" s="1" t="str">
        <f>"1k"</f>
        <v>1k</v>
      </c>
      <c r="L923" s="1" t="s">
        <v>121</v>
      </c>
      <c r="M923" s="1" t="str">
        <f t="shared" si="135"/>
        <v>-73</v>
      </c>
      <c r="N923" s="1" t="str">
        <f>""</f>
        <v/>
      </c>
      <c r="O923" s="1">
        <v>2</v>
      </c>
      <c r="P923" s="1"/>
      <c r="Q923" t="s">
        <v>303</v>
      </c>
    </row>
    <row r="924" spans="1:17" x14ac:dyDescent="0.25">
      <c r="A924" t="str">
        <f>"2018-10-19 19:23:34"</f>
        <v>2018-10-19 19:23:34</v>
      </c>
      <c r="B924" s="1" t="str">
        <f>"2018-10-25 20:47:57"</f>
        <v>2018-10-25 20:47:57</v>
      </c>
      <c r="C924" s="1" t="str">
        <f>"Burnaby Judo Club"</f>
        <v>Burnaby Judo Club</v>
      </c>
      <c r="D924" s="1" t="str">
        <f>"BC"</f>
        <v>BC</v>
      </c>
      <c r="E924" s="1" t="str">
        <f>"British Columbia"</f>
        <v>British Columbia</v>
      </c>
      <c r="F924" s="1" t="str">
        <f>"Jaden"</f>
        <v>Jaden</v>
      </c>
      <c r="G924" s="1" t="str">
        <f>"Gauw"</f>
        <v>Gauw</v>
      </c>
      <c r="H924" s="1" t="str">
        <f>"0195666"</f>
        <v>0195666</v>
      </c>
      <c r="I924" s="1" t="str">
        <f t="shared" si="134"/>
        <v>M</v>
      </c>
      <c r="J924" s="2">
        <v>2002</v>
      </c>
      <c r="K924" s="10" t="s">
        <v>21</v>
      </c>
      <c r="L924" s="1" t="s">
        <v>121</v>
      </c>
      <c r="M924" s="1" t="str">
        <f t="shared" si="135"/>
        <v>-73</v>
      </c>
      <c r="N924" s="1" t="str">
        <f>""</f>
        <v/>
      </c>
      <c r="O924" s="1">
        <v>2</v>
      </c>
      <c r="P924" s="1"/>
      <c r="Q924" t="s">
        <v>303</v>
      </c>
    </row>
    <row r="925" spans="1:17" x14ac:dyDescent="0.25">
      <c r="A925" t="str">
        <f>"2018-10-21 21:45:06"</f>
        <v>2018-10-21 21:45:06</v>
      </c>
      <c r="B925" s="1" t="str">
        <f>"2018-10-25 21:17:30"</f>
        <v>2018-10-25 21:17:30</v>
      </c>
      <c r="C925" s="1" t="str">
        <f>"Club de judo Shidokan inc."</f>
        <v>Club de judo Shidokan inc.</v>
      </c>
      <c r="D925" s="1" t="str">
        <f>"QC"</f>
        <v>QC</v>
      </c>
      <c r="E925" s="1" t="str">
        <f>"Quebec"</f>
        <v>Quebec</v>
      </c>
      <c r="F925" s="1" t="str">
        <f>"Victor"</f>
        <v>Victor</v>
      </c>
      <c r="G925" s="1" t="str">
        <f>"Gougeon-Gazé"</f>
        <v>Gougeon-Gazé</v>
      </c>
      <c r="H925" s="1" t="str">
        <f>"0154674"</f>
        <v>0154674</v>
      </c>
      <c r="I925" s="1" t="str">
        <f t="shared" si="134"/>
        <v>M</v>
      </c>
      <c r="J925" s="2">
        <v>2003</v>
      </c>
      <c r="K925" s="1" t="str">
        <f>"1k"</f>
        <v>1k</v>
      </c>
      <c r="L925" s="1" t="s">
        <v>121</v>
      </c>
      <c r="M925" s="1" t="str">
        <f t="shared" si="135"/>
        <v>-73</v>
      </c>
      <c r="N925" s="1" t="str">
        <f>""</f>
        <v/>
      </c>
      <c r="O925" s="1">
        <v>2</v>
      </c>
      <c r="P925" s="1"/>
      <c r="Q925" t="s">
        <v>303</v>
      </c>
    </row>
    <row r="926" spans="1:17" x14ac:dyDescent="0.25">
      <c r="A926" t="str">
        <f>"2018-10-02 12:21:15"</f>
        <v>2018-10-02 12:21:15</v>
      </c>
      <c r="B926" s="1" t="str">
        <f>""</f>
        <v/>
      </c>
      <c r="C926" s="1" t="str">
        <f>"Judo Blainville"</f>
        <v>Judo Blainville</v>
      </c>
      <c r="D926" s="1" t="str">
        <f>"QC"</f>
        <v>QC</v>
      </c>
      <c r="E926" s="1" t="str">
        <f>"Quebec"</f>
        <v>Quebec</v>
      </c>
      <c r="F926" s="1" t="str">
        <f>"Michel"</f>
        <v>Michel</v>
      </c>
      <c r="G926" s="1" t="str">
        <f>"Gouin"</f>
        <v>Gouin</v>
      </c>
      <c r="H926" s="1" t="str">
        <f>"0167584"</f>
        <v>0167584</v>
      </c>
      <c r="I926" s="1" t="str">
        <f t="shared" si="134"/>
        <v>M</v>
      </c>
      <c r="J926" s="2">
        <v>2002</v>
      </c>
      <c r="K926" s="1" t="str">
        <f>"1k"</f>
        <v>1k</v>
      </c>
      <c r="L926" s="1" t="str">
        <f>"U18"</f>
        <v>U18</v>
      </c>
      <c r="M926" s="1" t="str">
        <f t="shared" si="135"/>
        <v>-73</v>
      </c>
      <c r="N926" s="1" t="str">
        <f>""</f>
        <v/>
      </c>
      <c r="O926" s="1">
        <v>1</v>
      </c>
      <c r="P926" s="1"/>
      <c r="Q926" t="s">
        <v>303</v>
      </c>
    </row>
    <row r="927" spans="1:17" x14ac:dyDescent="0.25">
      <c r="A927" t="str">
        <f>"2018-10-06 12:09:40"</f>
        <v>2018-10-06 12:09:40</v>
      </c>
      <c r="B927" s="1" t="str">
        <f>""</f>
        <v/>
      </c>
      <c r="C927" s="1" t="str">
        <f>"Club de Judo et Aïkibudo de Charlesbourg"</f>
        <v>Club de Judo et Aïkibudo de Charlesbourg</v>
      </c>
      <c r="D927" s="1" t="str">
        <f>"QC"</f>
        <v>QC</v>
      </c>
      <c r="E927" s="1" t="str">
        <f>"Quebec"</f>
        <v>Quebec</v>
      </c>
      <c r="F927" s="1" t="str">
        <f>"Xavier"</f>
        <v>Xavier</v>
      </c>
      <c r="G927" s="1" t="str">
        <f>"Hamel"</f>
        <v>Hamel</v>
      </c>
      <c r="H927" s="1" t="str">
        <f>"0153104"</f>
        <v>0153104</v>
      </c>
      <c r="I927" s="1" t="str">
        <f t="shared" si="134"/>
        <v>M</v>
      </c>
      <c r="J927" s="2">
        <v>2002</v>
      </c>
      <c r="K927" s="1" t="str">
        <f>"1k"</f>
        <v>1k</v>
      </c>
      <c r="L927" s="1" t="str">
        <f>"U18"</f>
        <v>U18</v>
      </c>
      <c r="M927" s="1" t="str">
        <f t="shared" si="135"/>
        <v>-73</v>
      </c>
      <c r="N927" s="1" t="str">
        <f>""</f>
        <v/>
      </c>
      <c r="O927" s="1">
        <v>1</v>
      </c>
      <c r="P927" s="1"/>
      <c r="Q927" t="s">
        <v>303</v>
      </c>
    </row>
    <row r="928" spans="1:17" x14ac:dyDescent="0.25">
      <c r="A928" t="str">
        <f>"2018-10-21 16:07:02"</f>
        <v>2018-10-21 16:07:02</v>
      </c>
      <c r="B928" s="1" t="str">
        <f>""</f>
        <v/>
      </c>
      <c r="C928" s="1" t="str">
        <f>"Valley Judo Institute"</f>
        <v>Valley Judo Institute</v>
      </c>
      <c r="D928" s="1" t="s">
        <v>106</v>
      </c>
      <c r="E928" s="1" t="str">
        <f>"United States"</f>
        <v>United States</v>
      </c>
      <c r="F928" s="1" t="str">
        <f>"Eric"</f>
        <v>Eric</v>
      </c>
      <c r="G928" s="1" t="str">
        <f>"Katrdzhyan"</f>
        <v>Katrdzhyan</v>
      </c>
      <c r="H928" s="1" t="str">
        <f>"AutreFederation"</f>
        <v>AutreFederation</v>
      </c>
      <c r="I928" s="1" t="str">
        <f t="shared" si="134"/>
        <v>M</v>
      </c>
      <c r="J928" s="2">
        <v>2002</v>
      </c>
      <c r="K928" s="1" t="str">
        <f>"1D"</f>
        <v>1D</v>
      </c>
      <c r="L928" s="1" t="s">
        <v>121</v>
      </c>
      <c r="M928" s="1" t="str">
        <f t="shared" si="135"/>
        <v>-73</v>
      </c>
      <c r="N928" s="1" t="str">
        <f>""</f>
        <v/>
      </c>
      <c r="O928" s="1">
        <v>2</v>
      </c>
      <c r="P928" s="1"/>
      <c r="Q928" t="s">
        <v>303</v>
      </c>
    </row>
    <row r="929" spans="1:17" x14ac:dyDescent="0.25">
      <c r="A929" t="str">
        <f>"2018-10-21 19:37:34"</f>
        <v>2018-10-21 19:37:34</v>
      </c>
      <c r="B929" s="1" t="str">
        <f>""</f>
        <v/>
      </c>
      <c r="C929" s="1" t="str">
        <f>"Tora Judo Club"</f>
        <v>Tora Judo Club</v>
      </c>
      <c r="D929" s="1" t="str">
        <f>"ON"</f>
        <v>ON</v>
      </c>
      <c r="E929" s="1" t="str">
        <f>"Ontario"</f>
        <v>Ontario</v>
      </c>
      <c r="F929" s="1" t="str">
        <f>"James"</f>
        <v>James</v>
      </c>
      <c r="G929" s="1" t="str">
        <f>"Lonsdale"</f>
        <v>Lonsdale</v>
      </c>
      <c r="H929" s="1" t="str">
        <f>"0185886"</f>
        <v>0185886</v>
      </c>
      <c r="I929" s="1" t="str">
        <f t="shared" si="134"/>
        <v>M</v>
      </c>
      <c r="J929" s="2">
        <v>2002</v>
      </c>
      <c r="K929" s="1" t="str">
        <f>"1k"</f>
        <v>1k</v>
      </c>
      <c r="L929" s="1" t="s">
        <v>121</v>
      </c>
      <c r="M929" s="1" t="str">
        <f t="shared" si="135"/>
        <v>-73</v>
      </c>
      <c r="N929" s="1" t="str">
        <f>"-73kg"</f>
        <v>-73kg</v>
      </c>
      <c r="O929" s="1">
        <v>2</v>
      </c>
      <c r="P929" s="1"/>
      <c r="Q929" t="s">
        <v>303</v>
      </c>
    </row>
    <row r="930" spans="1:17" x14ac:dyDescent="0.25">
      <c r="A930" t="str">
        <f>"2018-10-15 21:52:32"</f>
        <v>2018-10-15 21:52:32</v>
      </c>
      <c r="B930" s="1" t="str">
        <f>""</f>
        <v/>
      </c>
      <c r="C930" s="1" t="str">
        <f>"Ishi Yama Institute Of Judo"</f>
        <v>Ishi Yama Institute Of Judo</v>
      </c>
      <c r="D930" s="1" t="str">
        <f>"AB"</f>
        <v>AB</v>
      </c>
      <c r="E930" s="1" t="str">
        <f>"Alberta"</f>
        <v>Alberta</v>
      </c>
      <c r="F930" s="1" t="str">
        <f>"Tighe"</f>
        <v>Tighe</v>
      </c>
      <c r="G930" s="1" t="str">
        <f>"McAsey"</f>
        <v>McAsey</v>
      </c>
      <c r="H930" s="1" t="str">
        <f>"0198916"</f>
        <v>0198916</v>
      </c>
      <c r="I930" s="1" t="str">
        <f t="shared" si="134"/>
        <v>M</v>
      </c>
      <c r="J930" s="2">
        <v>2003</v>
      </c>
      <c r="K930" s="1" t="str">
        <f>"2k"</f>
        <v>2k</v>
      </c>
      <c r="L930" s="1" t="str">
        <f>"U18"</f>
        <v>U18</v>
      </c>
      <c r="M930" s="1" t="str">
        <f t="shared" si="135"/>
        <v>-73</v>
      </c>
      <c r="N930" s="1" t="str">
        <f>""</f>
        <v/>
      </c>
      <c r="O930" s="1">
        <v>1</v>
      </c>
      <c r="P930" s="1"/>
      <c r="Q930" t="s">
        <v>303</v>
      </c>
    </row>
    <row r="931" spans="1:17" x14ac:dyDescent="0.25">
      <c r="A931" t="str">
        <f>"2018-10-19 13:56:05"</f>
        <v>2018-10-19 13:56:05</v>
      </c>
      <c r="B931" s="1" t="str">
        <f>""</f>
        <v/>
      </c>
      <c r="C931" s="1" t="str">
        <f>"Judo-La Pocatiere"</f>
        <v>Judo-La Pocatiere</v>
      </c>
      <c r="D931" s="1" t="str">
        <f>"QC"</f>
        <v>QC</v>
      </c>
      <c r="E931" s="1" t="str">
        <f>"Quebec"</f>
        <v>Quebec</v>
      </c>
      <c r="F931" s="1" t="str">
        <f>"Olivier"</f>
        <v>Olivier</v>
      </c>
      <c r="G931" s="1" t="str">
        <f>"Michaud"</f>
        <v>Michaud</v>
      </c>
      <c r="H931" s="1" t="str">
        <f>"0196994"</f>
        <v>0196994</v>
      </c>
      <c r="I931" s="1" t="str">
        <f t="shared" si="134"/>
        <v>M</v>
      </c>
      <c r="J931" s="2">
        <v>2003</v>
      </c>
      <c r="K931" s="1" t="str">
        <f>"2k+"</f>
        <v>2k+</v>
      </c>
      <c r="L931" s="1" t="str">
        <f>"U18"</f>
        <v>U18</v>
      </c>
      <c r="M931" s="1" t="str">
        <f t="shared" si="135"/>
        <v>-73</v>
      </c>
      <c r="N931" s="1" t="str">
        <f>""</f>
        <v/>
      </c>
      <c r="O931" s="1">
        <v>1</v>
      </c>
      <c r="P931" s="1"/>
      <c r="Q931" t="s">
        <v>303</v>
      </c>
    </row>
    <row r="932" spans="1:17" x14ac:dyDescent="0.25">
      <c r="A932" t="str">
        <f>"2018-10-17 19:56:53"</f>
        <v>2018-10-17 19:56:53</v>
      </c>
      <c r="B932" s="1" t="str">
        <f>""</f>
        <v/>
      </c>
      <c r="C932" s="1" t="str">
        <f>"Club de Judo Boucherville inc."</f>
        <v>Club de Judo Boucherville inc.</v>
      </c>
      <c r="D932" s="1" t="str">
        <f>"QC"</f>
        <v>QC</v>
      </c>
      <c r="E932" s="1" t="str">
        <f>"Quebec"</f>
        <v>Quebec</v>
      </c>
      <c r="F932" s="1" t="str">
        <f>"Édouard"</f>
        <v>Édouard</v>
      </c>
      <c r="G932" s="1" t="str">
        <f>"Paiement"</f>
        <v>Paiement</v>
      </c>
      <c r="H932" s="1" t="str">
        <f>"0153415"</f>
        <v>0153415</v>
      </c>
      <c r="I932" s="1" t="str">
        <f t="shared" si="134"/>
        <v>M</v>
      </c>
      <c r="J932" s="2">
        <v>2003</v>
      </c>
      <c r="K932" s="1" t="str">
        <f>"1k"</f>
        <v>1k</v>
      </c>
      <c r="L932" s="1" t="str">
        <f>"U18"</f>
        <v>U18</v>
      </c>
      <c r="M932" s="1" t="str">
        <f t="shared" si="135"/>
        <v>-73</v>
      </c>
      <c r="N932" s="1" t="str">
        <f>""</f>
        <v/>
      </c>
      <c r="O932" s="1">
        <v>1</v>
      </c>
      <c r="P932" s="1"/>
      <c r="Q932" t="s">
        <v>303</v>
      </c>
    </row>
    <row r="933" spans="1:17" x14ac:dyDescent="0.25">
      <c r="A933" t="str">
        <f>"2018-10-21 15:42:00"</f>
        <v>2018-10-21 15:42:00</v>
      </c>
      <c r="B933" s="1" t="str">
        <f>""</f>
        <v/>
      </c>
      <c r="C933" s="1" t="str">
        <f>"Burnaby Judo Club"</f>
        <v>Burnaby Judo Club</v>
      </c>
      <c r="D933" s="1" t="str">
        <f>"BC"</f>
        <v>BC</v>
      </c>
      <c r="E933" s="1" t="str">
        <f>"British Columbia"</f>
        <v>British Columbia</v>
      </c>
      <c r="F933" s="1" t="str">
        <f>"Nikola"</f>
        <v>Nikola</v>
      </c>
      <c r="G933" s="1" t="str">
        <f>"Petrovic"</f>
        <v>Petrovic</v>
      </c>
      <c r="H933" s="1" t="str">
        <f>"0205095"</f>
        <v>0205095</v>
      </c>
      <c r="I933" s="1" t="str">
        <f t="shared" si="134"/>
        <v>M</v>
      </c>
      <c r="J933" s="2">
        <v>2004</v>
      </c>
      <c r="K933" s="1" t="str">
        <f>"2k"</f>
        <v>2k</v>
      </c>
      <c r="L933" s="1" t="s">
        <v>121</v>
      </c>
      <c r="M933" s="1" t="str">
        <f t="shared" si="135"/>
        <v>-73</v>
      </c>
      <c r="N933" s="1" t="str">
        <f>""</f>
        <v/>
      </c>
      <c r="O933" s="1">
        <v>2</v>
      </c>
      <c r="P933" s="1"/>
      <c r="Q933" t="s">
        <v>303</v>
      </c>
    </row>
    <row r="934" spans="1:17" x14ac:dyDescent="0.25">
      <c r="A934" t="str">
        <f>"2018-10-21 21:53:41"</f>
        <v>2018-10-21 21:53:41</v>
      </c>
      <c r="B934" s="1" t="str">
        <f>""</f>
        <v/>
      </c>
      <c r="C934" s="1" t="str">
        <f>"Club de judo Métropolitain inc."</f>
        <v>Club de judo Métropolitain inc.</v>
      </c>
      <c r="D934" s="1" t="str">
        <f>"QC"</f>
        <v>QC</v>
      </c>
      <c r="E934" s="1" t="str">
        <f>"Quebec"</f>
        <v>Quebec</v>
      </c>
      <c r="F934" s="1" t="str">
        <f>"Yuriy"</f>
        <v>Yuriy</v>
      </c>
      <c r="G934" s="1" t="str">
        <f>"Semenyuk"</f>
        <v>Semenyuk</v>
      </c>
      <c r="H934" s="1" t="str">
        <f>"0197665"</f>
        <v>0197665</v>
      </c>
      <c r="I934" s="1" t="str">
        <f t="shared" si="134"/>
        <v>M</v>
      </c>
      <c r="J934" s="2">
        <v>2004</v>
      </c>
      <c r="K934" s="1" t="str">
        <f>"1k"</f>
        <v>1k</v>
      </c>
      <c r="L934" s="1" t="s">
        <v>121</v>
      </c>
      <c r="M934" s="1" t="str">
        <f t="shared" si="135"/>
        <v>-73</v>
      </c>
      <c r="N934" s="1" t="str">
        <f>""</f>
        <v/>
      </c>
      <c r="O934" s="1">
        <v>2</v>
      </c>
      <c r="P934" s="1"/>
      <c r="Q934" t="s">
        <v>303</v>
      </c>
    </row>
    <row r="935" spans="1:17" x14ac:dyDescent="0.25">
      <c r="A935" t="str">
        <f>"2018-10-22 18:00:51"</f>
        <v>2018-10-22 18:00:51</v>
      </c>
      <c r="B935" s="1" t="str">
        <f>""</f>
        <v/>
      </c>
      <c r="C935" s="1" t="str">
        <f>"Budokan Saint-Laurent"</f>
        <v>Budokan Saint-Laurent</v>
      </c>
      <c r="D935" s="1" t="str">
        <f>"QC"</f>
        <v>QC</v>
      </c>
      <c r="E935" s="1" t="str">
        <f>"Quebec"</f>
        <v>Quebec</v>
      </c>
      <c r="F935" s="1" t="str">
        <f>"Mohamed"</f>
        <v>Mohamed</v>
      </c>
      <c r="G935" s="1" t="str">
        <f>"Wafi"</f>
        <v>Wafi</v>
      </c>
      <c r="H935" s="1" t="str">
        <f>"0181222"</f>
        <v>0181222</v>
      </c>
      <c r="I935" s="1" t="str">
        <f t="shared" si="134"/>
        <v>M</v>
      </c>
      <c r="J935" s="2">
        <v>2003</v>
      </c>
      <c r="K935" s="1" t="str">
        <f>"3k"</f>
        <v>3k</v>
      </c>
      <c r="L935" s="1" t="str">
        <f>"U18"</f>
        <v>U18</v>
      </c>
      <c r="M935" s="1" t="str">
        <f t="shared" si="135"/>
        <v>-73</v>
      </c>
      <c r="N935" s="1" t="str">
        <f>""</f>
        <v/>
      </c>
      <c r="O935" s="1">
        <v>1</v>
      </c>
      <c r="P935" s="1"/>
      <c r="Q935" t="s">
        <v>303</v>
      </c>
    </row>
    <row r="936" spans="1:17" x14ac:dyDescent="0.25">
      <c r="A936" t="str">
        <f>"2018-10-21 20:03:37"</f>
        <v>2018-10-21 20:03:37</v>
      </c>
      <c r="B936" s="1" t="str">
        <f>""</f>
        <v/>
      </c>
      <c r="C936" s="1" t="str">
        <f>"Cranford JKC"</f>
        <v>Cranford JKC</v>
      </c>
      <c r="D936" s="1" t="s">
        <v>106</v>
      </c>
      <c r="E936" s="1" t="str">
        <f>"NJ"</f>
        <v>NJ</v>
      </c>
      <c r="F936" s="1" t="str">
        <f>"Nicolas"</f>
        <v>Nicolas</v>
      </c>
      <c r="G936" s="1" t="str">
        <f>"Yonezuka"</f>
        <v>Yonezuka</v>
      </c>
      <c r="H936" s="1" t="str">
        <f>"AutreFederation"</f>
        <v>AutreFederation</v>
      </c>
      <c r="I936" s="1" t="str">
        <f t="shared" si="134"/>
        <v>M</v>
      </c>
      <c r="J936" s="2">
        <v>2002</v>
      </c>
      <c r="K936" s="1" t="str">
        <f>"1k"</f>
        <v>1k</v>
      </c>
      <c r="L936" s="1" t="str">
        <f>"U18"</f>
        <v>U18</v>
      </c>
      <c r="M936" s="1" t="str">
        <f t="shared" si="135"/>
        <v>-73</v>
      </c>
      <c r="N936" s="1" t="str">
        <f>""</f>
        <v/>
      </c>
      <c r="O936" s="1">
        <v>1</v>
      </c>
      <c r="P936" s="1"/>
      <c r="Q936" t="s">
        <v>303</v>
      </c>
    </row>
    <row r="937" spans="1:17" x14ac:dyDescent="0.25">
      <c r="A937" t="str">
        <f>"2018-10-21 22:03:27"</f>
        <v>2018-10-21 22:03:27</v>
      </c>
      <c r="B937" s="1" t="str">
        <f>""</f>
        <v/>
      </c>
      <c r="C937" s="1" t="str">
        <f>"Hart Judo Academy"</f>
        <v>Hart Judo Academy</v>
      </c>
      <c r="D937" s="1" t="str">
        <f>"BC"</f>
        <v>BC</v>
      </c>
      <c r="E937" s="1" t="str">
        <f>"British Columbia"</f>
        <v>British Columbia</v>
      </c>
      <c r="F937" s="1" t="str">
        <f>"Lochlan"</f>
        <v>Lochlan</v>
      </c>
      <c r="G937" s="1" t="str">
        <f>"Young"</f>
        <v>Young</v>
      </c>
      <c r="H937" s="1" t="str">
        <f>"0172163"</f>
        <v>0172163</v>
      </c>
      <c r="I937" s="1" t="str">
        <f t="shared" si="134"/>
        <v>M</v>
      </c>
      <c r="J937" s="2">
        <v>2002</v>
      </c>
      <c r="K937" s="1" t="str">
        <f>"1k"</f>
        <v>1k</v>
      </c>
      <c r="L937" s="1" t="s">
        <v>121</v>
      </c>
      <c r="M937" s="1" t="str">
        <f t="shared" si="135"/>
        <v>-73</v>
      </c>
      <c r="N937" s="1" t="str">
        <f>""</f>
        <v/>
      </c>
      <c r="O937" s="1">
        <v>2</v>
      </c>
      <c r="P937" s="1"/>
      <c r="Q937" t="s">
        <v>303</v>
      </c>
    </row>
    <row r="938" spans="1:17" x14ac:dyDescent="0.25">
      <c r="A938" t="str">
        <f>"2018-10-19 19:28:45"</f>
        <v>2018-10-19 19:28:45</v>
      </c>
      <c r="B938" s="1" t="str">
        <f>""</f>
        <v/>
      </c>
      <c r="C938" s="1" t="str">
        <f>"Challenge Sports Club"</f>
        <v>Challenge Sports Club</v>
      </c>
      <c r="D938" s="1" t="str">
        <f>"ON"</f>
        <v>ON</v>
      </c>
      <c r="E938" s="1" t="str">
        <f>"Ontario"</f>
        <v>Ontario</v>
      </c>
      <c r="F938" s="1" t="str">
        <f>"Daniil"</f>
        <v>Daniil</v>
      </c>
      <c r="G938" s="1" t="str">
        <f>"Zhilyayev"</f>
        <v>Zhilyayev</v>
      </c>
      <c r="H938" s="1" t="str">
        <f>"0190853"</f>
        <v>0190853</v>
      </c>
      <c r="I938" s="1" t="str">
        <f t="shared" si="134"/>
        <v>M</v>
      </c>
      <c r="J938" s="2">
        <v>2002</v>
      </c>
      <c r="K938" s="1" t="str">
        <f>"1k"</f>
        <v>1k</v>
      </c>
      <c r="L938" s="1" t="str">
        <f>"U18"</f>
        <v>U18</v>
      </c>
      <c r="M938" s="1" t="str">
        <f t="shared" si="135"/>
        <v>-73</v>
      </c>
      <c r="N938" s="1" t="str">
        <f>""</f>
        <v/>
      </c>
      <c r="O938" s="1">
        <v>1</v>
      </c>
      <c r="P938" s="1"/>
      <c r="Q938" t="s">
        <v>303</v>
      </c>
    </row>
    <row r="939" spans="1:17" x14ac:dyDescent="0.25">
      <c r="A939" t="str">
        <f>"2018-10-18 21:17:02"</f>
        <v>2018-10-18 21:17:02</v>
      </c>
      <c r="B939" s="1" t="str">
        <f>""</f>
        <v/>
      </c>
      <c r="C939" s="1" t="str">
        <f>"Lethbridge Kyodokan Judo Club"</f>
        <v>Lethbridge Kyodokan Judo Club</v>
      </c>
      <c r="D939" s="1" t="str">
        <f>"AB"</f>
        <v>AB</v>
      </c>
      <c r="E939" s="1" t="str">
        <f>"Alberta"</f>
        <v>Alberta</v>
      </c>
      <c r="F939" s="1" t="str">
        <f>"Taylor"</f>
        <v>Taylor</v>
      </c>
      <c r="G939" s="1" t="str">
        <f>"Althouse"</f>
        <v>Althouse</v>
      </c>
      <c r="H939" s="1" t="str">
        <f>"0188736"</f>
        <v>0188736</v>
      </c>
      <c r="I939" s="1" t="str">
        <f t="shared" si="134"/>
        <v>M</v>
      </c>
      <c r="J939" s="2">
        <v>2002</v>
      </c>
      <c r="K939" s="1" t="str">
        <f>"1k"</f>
        <v>1k</v>
      </c>
      <c r="L939" s="1" t="s">
        <v>121</v>
      </c>
      <c r="M939" s="1" t="str">
        <f t="shared" ref="M939:M946" si="136">"-81"</f>
        <v>-81</v>
      </c>
      <c r="N939" s="1" t="str">
        <f>""</f>
        <v/>
      </c>
      <c r="O939" s="1">
        <v>2</v>
      </c>
      <c r="P939" s="1"/>
      <c r="Q939" t="s">
        <v>304</v>
      </c>
    </row>
    <row r="940" spans="1:17" x14ac:dyDescent="0.25">
      <c r="A940" t="str">
        <f>"2018-10-13 17:28:27"</f>
        <v>2018-10-13 17:28:27</v>
      </c>
      <c r="B940" s="1" t="str">
        <f>""</f>
        <v/>
      </c>
      <c r="C940" s="1" t="str">
        <f>"Challenge Sports Club"</f>
        <v>Challenge Sports Club</v>
      </c>
      <c r="D940" s="1" t="str">
        <f>"ON"</f>
        <v>ON</v>
      </c>
      <c r="E940" s="1" t="str">
        <f>"Ontario"</f>
        <v>Ontario</v>
      </c>
      <c r="F940" s="1" t="str">
        <f>"Emil"</f>
        <v>Emil</v>
      </c>
      <c r="G940" s="1" t="str">
        <f>"Khaibullaiev"</f>
        <v>Khaibullaiev</v>
      </c>
      <c r="H940" s="1" t="str">
        <f>"0235382"</f>
        <v>0235382</v>
      </c>
      <c r="I940" s="1" t="str">
        <f t="shared" si="134"/>
        <v>M</v>
      </c>
      <c r="J940" s="2">
        <v>2002</v>
      </c>
      <c r="K940" s="1" t="str">
        <f>"1k"</f>
        <v>1k</v>
      </c>
      <c r="L940" s="1" t="str">
        <f>"U18"</f>
        <v>U18</v>
      </c>
      <c r="M940" s="1" t="str">
        <f t="shared" si="136"/>
        <v>-81</v>
      </c>
      <c r="N940" s="1" t="str">
        <f>""</f>
        <v/>
      </c>
      <c r="O940" s="1">
        <v>1</v>
      </c>
      <c r="P940" s="1"/>
      <c r="Q940" t="s">
        <v>304</v>
      </c>
    </row>
    <row r="941" spans="1:17" x14ac:dyDescent="0.25">
      <c r="A941" t="str">
        <f>"2018-10-25 14:00:06"</f>
        <v>2018-10-25 14:00:06</v>
      </c>
      <c r="B941" s="1" t="str">
        <f>""</f>
        <v/>
      </c>
      <c r="C941" s="1" t="str">
        <f>"Académie de Judo de Sept-Iles Inc."</f>
        <v>Académie de Judo de Sept-Iles Inc.</v>
      </c>
      <c r="D941" s="1" t="str">
        <f>"QC"</f>
        <v>QC</v>
      </c>
      <c r="E941" s="1" t="str">
        <f>"Quebec"</f>
        <v>Quebec</v>
      </c>
      <c r="F941" s="1" t="str">
        <f>"Jérémy"</f>
        <v>Jérémy</v>
      </c>
      <c r="G941" s="1" t="str">
        <f>"Labrie"</f>
        <v>Labrie</v>
      </c>
      <c r="H941" s="1" t="str">
        <f>"0182470"</f>
        <v>0182470</v>
      </c>
      <c r="I941" s="1" t="str">
        <f t="shared" si="134"/>
        <v>M</v>
      </c>
      <c r="J941" s="2">
        <v>2002</v>
      </c>
      <c r="K941" s="1" t="str">
        <f>"1D"</f>
        <v>1D</v>
      </c>
      <c r="L941" s="1" t="str">
        <f>"U18"</f>
        <v>U18</v>
      </c>
      <c r="M941" s="1" t="str">
        <f t="shared" si="136"/>
        <v>-81</v>
      </c>
      <c r="N941" s="1" t="str">
        <f>""</f>
        <v/>
      </c>
      <c r="O941" s="1">
        <v>1</v>
      </c>
      <c r="P941" s="1"/>
      <c r="Q941" t="s">
        <v>304</v>
      </c>
    </row>
    <row r="942" spans="1:17" x14ac:dyDescent="0.25">
      <c r="A942" t="str">
        <f>"2018-10-20 21:45:11"</f>
        <v>2018-10-20 21:45:11</v>
      </c>
      <c r="B942" s="1" t="str">
        <f>""</f>
        <v/>
      </c>
      <c r="C942" s="1" t="str">
        <f>"Club judokas Jonquière inc."</f>
        <v>Club judokas Jonquière inc.</v>
      </c>
      <c r="D942" s="1" t="str">
        <f>"QC"</f>
        <v>QC</v>
      </c>
      <c r="E942" s="1" t="str">
        <f>"Quebec"</f>
        <v>Quebec</v>
      </c>
      <c r="F942" s="1" t="str">
        <f>"Renaud"</f>
        <v>Renaud</v>
      </c>
      <c r="G942" s="1" t="str">
        <f>"Lapointe"</f>
        <v>Lapointe</v>
      </c>
      <c r="H942" s="1" t="str">
        <f>"0145327"</f>
        <v>0145327</v>
      </c>
      <c r="I942" s="1" t="str">
        <f t="shared" si="134"/>
        <v>M</v>
      </c>
      <c r="J942" s="2">
        <v>2002</v>
      </c>
      <c r="K942" s="1" t="str">
        <f>"1k"</f>
        <v>1k</v>
      </c>
      <c r="L942" s="1" t="str">
        <f>"U18"</f>
        <v>U18</v>
      </c>
      <c r="M942" s="1" t="str">
        <f t="shared" si="136"/>
        <v>-81</v>
      </c>
      <c r="N942" s="1" t="str">
        <f>""</f>
        <v/>
      </c>
      <c r="O942" s="1">
        <v>1</v>
      </c>
      <c r="P942" s="1"/>
      <c r="Q942" t="s">
        <v>304</v>
      </c>
    </row>
    <row r="943" spans="1:17" x14ac:dyDescent="0.25">
      <c r="A943" t="str">
        <f>"2018-10-21 20:42:29"</f>
        <v>2018-10-21 20:42:29</v>
      </c>
      <c r="B943" s="1" t="str">
        <f>""</f>
        <v/>
      </c>
      <c r="C943" s="1" t="str">
        <f>"Atlantic Training Center"</f>
        <v>Atlantic Training Center</v>
      </c>
      <c r="D943" s="1" t="str">
        <f>"NS"</f>
        <v>NS</v>
      </c>
      <c r="E943" s="1" t="str">
        <f>"Nova Scotia"</f>
        <v>Nova Scotia</v>
      </c>
      <c r="F943" s="1" t="str">
        <f>"Noah"</f>
        <v>Noah</v>
      </c>
      <c r="G943" s="1" t="str">
        <f>"Latimer"</f>
        <v>Latimer</v>
      </c>
      <c r="H943" s="1" t="str">
        <f>"0168643"</f>
        <v>0168643</v>
      </c>
      <c r="I943" s="1" t="str">
        <f t="shared" si="134"/>
        <v>M</v>
      </c>
      <c r="J943" s="2">
        <v>2002</v>
      </c>
      <c r="K943" s="1" t="str">
        <f>"1k"</f>
        <v>1k</v>
      </c>
      <c r="L943" s="1" t="str">
        <f>"U18"</f>
        <v>U18</v>
      </c>
      <c r="M943" s="1" t="str">
        <f t="shared" si="136"/>
        <v>-81</v>
      </c>
      <c r="N943" s="1" t="str">
        <f>""</f>
        <v/>
      </c>
      <c r="O943" s="1">
        <v>1</v>
      </c>
      <c r="P943" s="1"/>
      <c r="Q943" t="s">
        <v>304</v>
      </c>
    </row>
    <row r="944" spans="1:17" x14ac:dyDescent="0.25">
      <c r="A944" t="str">
        <f>"2018-10-19 17:43:48"</f>
        <v>2018-10-19 17:43:48</v>
      </c>
      <c r="B944" s="1" t="str">
        <f>""</f>
        <v/>
      </c>
      <c r="C944" s="1" t="str">
        <f>"Club de judo Rouyn-Noranda"</f>
        <v>Club de judo Rouyn-Noranda</v>
      </c>
      <c r="D944" s="1" t="str">
        <f>"QC"</f>
        <v>QC</v>
      </c>
      <c r="E944" s="1" t="str">
        <f>"Quebec"</f>
        <v>Quebec</v>
      </c>
      <c r="F944" s="1" t="str">
        <f>"Malik"</f>
        <v>Malik</v>
      </c>
      <c r="G944" s="1" t="str">
        <f>"Lienert-Pelletier"</f>
        <v>Lienert-Pelletier</v>
      </c>
      <c r="H944" s="1" t="str">
        <f>"0191265"</f>
        <v>0191265</v>
      </c>
      <c r="I944" s="1" t="str">
        <f t="shared" si="134"/>
        <v>M</v>
      </c>
      <c r="J944" s="2">
        <v>2003</v>
      </c>
      <c r="K944" s="1" t="str">
        <f>"2k"</f>
        <v>2k</v>
      </c>
      <c r="L944" s="1" t="str">
        <f>"U18"</f>
        <v>U18</v>
      </c>
      <c r="M944" s="1" t="str">
        <f t="shared" si="136"/>
        <v>-81</v>
      </c>
      <c r="N944" s="1" t="str">
        <f>""</f>
        <v/>
      </c>
      <c r="O944" s="1">
        <v>1</v>
      </c>
      <c r="P944" s="1"/>
      <c r="Q944" t="s">
        <v>304</v>
      </c>
    </row>
    <row r="945" spans="1:17" x14ac:dyDescent="0.25">
      <c r="A945" t="str">
        <f>"2018-10-23 20:24:37"</f>
        <v>2018-10-23 20:24:37</v>
      </c>
      <c r="B945" s="1" t="str">
        <f>""</f>
        <v/>
      </c>
      <c r="C945" s="1" t="str">
        <f>"Club de Judo et de Ju-Jitsu Juvaldo inc."</f>
        <v>Club de Judo et de Ju-Jitsu Juvaldo inc.</v>
      </c>
      <c r="D945" s="1" t="str">
        <f>"QC"</f>
        <v>QC</v>
      </c>
      <c r="E945" s="1" t="str">
        <f>"Quebec"</f>
        <v>Quebec</v>
      </c>
      <c r="F945" s="1" t="str">
        <f>"Simon"</f>
        <v>Simon</v>
      </c>
      <c r="G945" s="1" t="str">
        <f>"Vallière"</f>
        <v>Vallière</v>
      </c>
      <c r="H945" s="1" t="str">
        <f>"0175406"</f>
        <v>0175406</v>
      </c>
      <c r="I945" s="1" t="str">
        <f t="shared" si="134"/>
        <v>M</v>
      </c>
      <c r="J945" s="2">
        <v>2002</v>
      </c>
      <c r="K945" s="1" t="str">
        <f t="shared" ref="K945:K950" si="137">"1k"</f>
        <v>1k</v>
      </c>
      <c r="L945" s="1" t="s">
        <v>121</v>
      </c>
      <c r="M945" s="1" t="str">
        <f t="shared" si="136"/>
        <v>-81</v>
      </c>
      <c r="N945" s="1" t="str">
        <f>""</f>
        <v/>
      </c>
      <c r="O945" s="1">
        <v>2</v>
      </c>
      <c r="P945" s="1"/>
      <c r="Q945" t="s">
        <v>304</v>
      </c>
    </row>
    <row r="946" spans="1:17" x14ac:dyDescent="0.25">
      <c r="A946" t="str">
        <f>"2018-10-01 08:53:31"</f>
        <v>2018-10-01 08:53:31</v>
      </c>
      <c r="B946" s="1" t="str">
        <f>""</f>
        <v/>
      </c>
      <c r="C946" s="1" t="str">
        <f>"Arts martiaux Budokai inc."</f>
        <v>Arts martiaux Budokai inc.</v>
      </c>
      <c r="D946" s="1" t="str">
        <f>"QC"</f>
        <v>QC</v>
      </c>
      <c r="E946" s="1" t="str">
        <f>"Quebec"</f>
        <v>Quebec</v>
      </c>
      <c r="F946" s="1" t="str">
        <f>"Massinissa"</f>
        <v>Massinissa</v>
      </c>
      <c r="G946" s="1" t="str">
        <f>"Yayaoui"</f>
        <v>Yayaoui</v>
      </c>
      <c r="H946" s="1" t="str">
        <f>"0172265"</f>
        <v>0172265</v>
      </c>
      <c r="I946" s="1" t="str">
        <f t="shared" si="134"/>
        <v>M</v>
      </c>
      <c r="J946" s="2">
        <v>2003</v>
      </c>
      <c r="K946" s="1" t="str">
        <f t="shared" si="137"/>
        <v>1k</v>
      </c>
      <c r="L946" s="1" t="str">
        <f t="shared" ref="L946:L952" si="138">"U18"</f>
        <v>U18</v>
      </c>
      <c r="M946" s="1" t="str">
        <f t="shared" si="136"/>
        <v>-81</v>
      </c>
      <c r="N946" s="1" t="str">
        <f>""</f>
        <v/>
      </c>
      <c r="O946" s="1">
        <v>1</v>
      </c>
      <c r="P946" s="1"/>
      <c r="Q946" t="s">
        <v>304</v>
      </c>
    </row>
    <row r="947" spans="1:17" x14ac:dyDescent="0.25">
      <c r="A947" t="str">
        <f>"2018-10-13 11:38:48"</f>
        <v>2018-10-13 11:38:48</v>
      </c>
      <c r="B947" s="1" t="str">
        <f>""</f>
        <v/>
      </c>
      <c r="C947" s="1" t="str">
        <f>"Toronto Judo Kai"</f>
        <v>Toronto Judo Kai</v>
      </c>
      <c r="D947" s="1" t="str">
        <f>"ON"</f>
        <v>ON</v>
      </c>
      <c r="E947" s="1" t="str">
        <f>"Ontario"</f>
        <v>Ontario</v>
      </c>
      <c r="F947" s="1" t="str">
        <f>"Amr"</f>
        <v>Amr</v>
      </c>
      <c r="G947" s="1" t="str">
        <f>"Abd Elrehim"</f>
        <v>Abd Elrehim</v>
      </c>
      <c r="H947" s="1" t="str">
        <f>"0169860"</f>
        <v>0169860</v>
      </c>
      <c r="I947" s="1" t="str">
        <f t="shared" si="134"/>
        <v>M</v>
      </c>
      <c r="J947" s="2">
        <v>2003</v>
      </c>
      <c r="K947" s="1" t="str">
        <f t="shared" si="137"/>
        <v>1k</v>
      </c>
      <c r="L947" s="1" t="str">
        <f t="shared" si="138"/>
        <v>U18</v>
      </c>
      <c r="M947" s="1" t="str">
        <f t="shared" ref="M947:M952" si="139">"-90"</f>
        <v>-90</v>
      </c>
      <c r="N947" s="1" t="str">
        <f>""</f>
        <v/>
      </c>
      <c r="O947" s="1">
        <v>1</v>
      </c>
      <c r="P947" s="1"/>
      <c r="Q947" t="s">
        <v>305</v>
      </c>
    </row>
    <row r="948" spans="1:17" x14ac:dyDescent="0.25">
      <c r="A948" t="str">
        <f>"2018-10-05 20:40:45"</f>
        <v>2018-10-05 20:40:45</v>
      </c>
      <c r="B948" s="1" t="str">
        <f>""</f>
        <v/>
      </c>
      <c r="C948" s="1" t="str">
        <f>"Club de judo Albatros Inc."</f>
        <v>Club de judo Albatros Inc.</v>
      </c>
      <c r="D948" s="1" t="str">
        <f>"QC"</f>
        <v>QC</v>
      </c>
      <c r="E948" s="1" t="str">
        <f>"Quebec"</f>
        <v>Quebec</v>
      </c>
      <c r="F948" s="1" t="str">
        <f>"Félix"</f>
        <v>Félix</v>
      </c>
      <c r="G948" s="1" t="str">
        <f>"Côté"</f>
        <v>Côté</v>
      </c>
      <c r="H948" s="1" t="str">
        <f>"0172523"</f>
        <v>0172523</v>
      </c>
      <c r="I948" s="1" t="str">
        <f t="shared" si="134"/>
        <v>M</v>
      </c>
      <c r="J948" s="2">
        <v>2003</v>
      </c>
      <c r="K948" s="1" t="str">
        <f t="shared" si="137"/>
        <v>1k</v>
      </c>
      <c r="L948" s="1" t="str">
        <f t="shared" si="138"/>
        <v>U18</v>
      </c>
      <c r="M948" s="1" t="str">
        <f t="shared" si="139"/>
        <v>-90</v>
      </c>
      <c r="N948" s="1" t="str">
        <f>""</f>
        <v/>
      </c>
      <c r="O948" s="1">
        <v>1</v>
      </c>
      <c r="P948" s="1"/>
      <c r="Q948" t="s">
        <v>305</v>
      </c>
    </row>
    <row r="949" spans="1:17" x14ac:dyDescent="0.25">
      <c r="A949" t="str">
        <f>"2018-10-19 12:15:43"</f>
        <v>2018-10-19 12:15:43</v>
      </c>
      <c r="B949" s="1" t="str">
        <f>""</f>
        <v/>
      </c>
      <c r="C949" s="1" t="str">
        <f>"Club de judo Métropolitain inc."</f>
        <v>Club de judo Métropolitain inc.</v>
      </c>
      <c r="D949" s="1" t="str">
        <f>"QC"</f>
        <v>QC</v>
      </c>
      <c r="E949" s="1" t="str">
        <f>"Quebec"</f>
        <v>Quebec</v>
      </c>
      <c r="F949" s="1" t="str">
        <f>"Elias"</f>
        <v>Elias</v>
      </c>
      <c r="G949" s="1" t="str">
        <f>"Louahla"</f>
        <v>Louahla</v>
      </c>
      <c r="H949" s="1" t="str">
        <f>"0221733"</f>
        <v>0221733</v>
      </c>
      <c r="I949" s="1" t="str">
        <f t="shared" si="134"/>
        <v>M</v>
      </c>
      <c r="J949" s="2">
        <v>2003</v>
      </c>
      <c r="K949" s="1" t="str">
        <f t="shared" si="137"/>
        <v>1k</v>
      </c>
      <c r="L949" s="1" t="str">
        <f t="shared" si="138"/>
        <v>U18</v>
      </c>
      <c r="M949" s="1" t="str">
        <f t="shared" si="139"/>
        <v>-90</v>
      </c>
      <c r="N949" s="1" t="str">
        <f>""</f>
        <v/>
      </c>
      <c r="O949" s="1">
        <v>1</v>
      </c>
      <c r="P949" s="1"/>
      <c r="Q949" t="s">
        <v>305</v>
      </c>
    </row>
    <row r="950" spans="1:17" x14ac:dyDescent="0.25">
      <c r="A950" t="str">
        <f>"2018-10-24 20:31:04"</f>
        <v>2018-10-24 20:31:04</v>
      </c>
      <c r="B950" s="1" t="str">
        <f>""</f>
        <v/>
      </c>
      <c r="C950" s="1" t="str">
        <f>"Ryudokan Judo Club"</f>
        <v>Ryudokan Judo Club</v>
      </c>
      <c r="D950" s="1" t="str">
        <f>"ON"</f>
        <v>ON</v>
      </c>
      <c r="E950" s="1" t="str">
        <f>"Ontario"</f>
        <v>Ontario</v>
      </c>
      <c r="F950" s="1" t="str">
        <f>"Owen"</f>
        <v>Owen</v>
      </c>
      <c r="G950" s="1" t="str">
        <f>"Macumber"</f>
        <v>Macumber</v>
      </c>
      <c r="H950" s="1" t="str">
        <f>"0205137"</f>
        <v>0205137</v>
      </c>
      <c r="I950" s="1" t="str">
        <f t="shared" si="134"/>
        <v>M</v>
      </c>
      <c r="J950" s="2">
        <v>2003</v>
      </c>
      <c r="K950" s="1" t="str">
        <f t="shared" si="137"/>
        <v>1k</v>
      </c>
      <c r="L950" s="1" t="str">
        <f t="shared" si="138"/>
        <v>U18</v>
      </c>
      <c r="M950" s="1" t="str">
        <f t="shared" si="139"/>
        <v>-90</v>
      </c>
      <c r="N950" s="1" t="str">
        <f>""</f>
        <v/>
      </c>
      <c r="O950" s="1">
        <v>1</v>
      </c>
      <c r="P950" s="1"/>
      <c r="Q950" t="s">
        <v>305</v>
      </c>
    </row>
    <row r="951" spans="1:17" x14ac:dyDescent="0.25">
      <c r="A951" t="str">
        <f>"2018-10-01 08:53:31"</f>
        <v>2018-10-01 08:53:31</v>
      </c>
      <c r="B951" s="1" t="str">
        <f>""</f>
        <v/>
      </c>
      <c r="C951" s="1" t="str">
        <f>"Toshidokan Judo Club"</f>
        <v>Toshidokan Judo Club</v>
      </c>
      <c r="D951" s="1" t="str">
        <f>"PE"</f>
        <v>PE</v>
      </c>
      <c r="E951" s="1" t="str">
        <f>"Prince Edward Island"</f>
        <v>Prince Edward Island</v>
      </c>
      <c r="F951" s="1" t="str">
        <f>"George"</f>
        <v>George</v>
      </c>
      <c r="G951" s="1" t="str">
        <f>"Madumba"</f>
        <v>Madumba</v>
      </c>
      <c r="H951" s="1" t="str">
        <f>"0201634"</f>
        <v>0201634</v>
      </c>
      <c r="I951" s="1" t="str">
        <f t="shared" si="134"/>
        <v>M</v>
      </c>
      <c r="J951" s="2">
        <v>2002</v>
      </c>
      <c r="K951" s="1" t="str">
        <f>"2k+"</f>
        <v>2k+</v>
      </c>
      <c r="L951" s="1" t="str">
        <f t="shared" si="138"/>
        <v>U18</v>
      </c>
      <c r="M951" s="1" t="str">
        <f t="shared" si="139"/>
        <v>-90</v>
      </c>
      <c r="N951" s="1" t="str">
        <f>""</f>
        <v/>
      </c>
      <c r="O951" s="1">
        <v>1</v>
      </c>
      <c r="P951" s="1"/>
      <c r="Q951" t="s">
        <v>305</v>
      </c>
    </row>
    <row r="952" spans="1:17" x14ac:dyDescent="0.25">
      <c r="A952" t="str">
        <f>"2018-10-21 21:45:06"</f>
        <v>2018-10-21 21:45:06</v>
      </c>
      <c r="B952" s="1" t="str">
        <f>""</f>
        <v/>
      </c>
      <c r="C952" s="1" t="str">
        <f>"Club judo St-Leonard"</f>
        <v>Club judo St-Leonard</v>
      </c>
      <c r="D952" s="1" t="str">
        <f>"QC"</f>
        <v>QC</v>
      </c>
      <c r="E952" s="1" t="str">
        <f>"Quebec"</f>
        <v>Quebec</v>
      </c>
      <c r="F952" s="1" t="str">
        <f>"Battou"</f>
        <v>Battou</v>
      </c>
      <c r="G952" s="1" t="str">
        <f>"Smail"</f>
        <v>Smail</v>
      </c>
      <c r="H952" s="1" t="str">
        <f>"0407246"</f>
        <v>0407246</v>
      </c>
      <c r="I952" s="1" t="str">
        <f t="shared" si="134"/>
        <v>M</v>
      </c>
      <c r="J952" s="2">
        <v>2002</v>
      </c>
      <c r="K952" s="1" t="str">
        <f>"3k+"</f>
        <v>3k+</v>
      </c>
      <c r="L952" s="1" t="str">
        <f t="shared" si="138"/>
        <v>U18</v>
      </c>
      <c r="M952" s="1" t="str">
        <f t="shared" si="139"/>
        <v>-90</v>
      </c>
      <c r="N952" s="1" t="str">
        <f>""</f>
        <v/>
      </c>
      <c r="O952" s="1">
        <v>1</v>
      </c>
      <c r="P952" s="1"/>
      <c r="Q952" t="s">
        <v>305</v>
      </c>
    </row>
    <row r="953" spans="1:17" x14ac:dyDescent="0.25">
      <c r="A953" t="str">
        <f>"2018-10-20 12:09:39"</f>
        <v>2018-10-20 12:09:39</v>
      </c>
      <c r="B953" s="1" t="str">
        <f>""</f>
        <v/>
      </c>
      <c r="C953" s="1" t="str">
        <f>"Takahashi Dojo"</f>
        <v>Takahashi Dojo</v>
      </c>
      <c r="D953" s="1" t="str">
        <f>"ON"</f>
        <v>ON</v>
      </c>
      <c r="E953" s="1" t="str">
        <f>"Ontario"</f>
        <v>Ontario</v>
      </c>
      <c r="F953" s="1" t="str">
        <f>"Nicholas"</f>
        <v>Nicholas</v>
      </c>
      <c r="G953" s="1" t="str">
        <f>"Doré"</f>
        <v>Doré</v>
      </c>
      <c r="H953" s="1" t="str">
        <f>"0216118"</f>
        <v>0216118</v>
      </c>
      <c r="I953" s="1" t="str">
        <f t="shared" si="134"/>
        <v>M</v>
      </c>
      <c r="J953" s="2">
        <v>1999</v>
      </c>
      <c r="K953" s="1" t="str">
        <f>"1k"</f>
        <v>1k</v>
      </c>
      <c r="L953" s="1" t="s">
        <v>129</v>
      </c>
      <c r="M953" s="1" t="str">
        <f>"+100"</f>
        <v>+100</v>
      </c>
      <c r="N953" s="1" t="str">
        <f>""</f>
        <v/>
      </c>
      <c r="O953" s="1">
        <v>2</v>
      </c>
      <c r="P953" s="1"/>
      <c r="Q953" t="s">
        <v>306</v>
      </c>
    </row>
    <row r="954" spans="1:17" x14ac:dyDescent="0.25">
      <c r="A954" t="str">
        <f>"2018-10-04 20:04:47"</f>
        <v>2018-10-04 20:04:47</v>
      </c>
      <c r="B954" s="1" t="str">
        <f>""</f>
        <v/>
      </c>
      <c r="C954" s="1" t="str">
        <f>"Kam Lake Territorial Centre"</f>
        <v>Kam Lake Territorial Centre</v>
      </c>
      <c r="D954" s="1" t="str">
        <f>"NT"</f>
        <v>NT</v>
      </c>
      <c r="E954" s="1" t="str">
        <f>"Northwest Territories"</f>
        <v>Northwest Territories</v>
      </c>
      <c r="F954" s="1" t="str">
        <f>"Wilson"</f>
        <v>Wilson</v>
      </c>
      <c r="G954" s="1" t="str">
        <f>"Elliot"</f>
        <v>Elliot</v>
      </c>
      <c r="H954" s="1" t="str">
        <f>"0187334"</f>
        <v>0187334</v>
      </c>
      <c r="I954" s="1" t="str">
        <f t="shared" si="134"/>
        <v>M</v>
      </c>
      <c r="J954" s="2">
        <v>2001</v>
      </c>
      <c r="K954" s="1" t="str">
        <f>"1k"</f>
        <v>1k</v>
      </c>
      <c r="L954" s="1" t="s">
        <v>129</v>
      </c>
      <c r="M954" s="1" t="str">
        <f>"+100"</f>
        <v>+100</v>
      </c>
      <c r="N954" s="1" t="str">
        <f>""</f>
        <v/>
      </c>
      <c r="O954" s="1">
        <v>2</v>
      </c>
      <c r="P954" s="1"/>
      <c r="Q954" t="s">
        <v>306</v>
      </c>
    </row>
    <row r="955" spans="1:17" x14ac:dyDescent="0.25">
      <c r="A955" t="str">
        <f>"2018-10-17 19:52:59"</f>
        <v>2018-10-17 19:52:59</v>
      </c>
      <c r="B955" s="1" t="str">
        <f>""</f>
        <v/>
      </c>
      <c r="C955" s="1" t="str">
        <f>"Swift Current"</f>
        <v>Swift Current</v>
      </c>
      <c r="D955" s="1" t="str">
        <f>"SK"</f>
        <v>SK</v>
      </c>
      <c r="E955" s="1" t="str">
        <f>"Saskatchewan"</f>
        <v>Saskatchewan</v>
      </c>
      <c r="F955" s="1" t="str">
        <f>"Toru"</f>
        <v>Toru</v>
      </c>
      <c r="G955" s="1" t="str">
        <f>"Iwaasa"</f>
        <v>Iwaasa</v>
      </c>
      <c r="H955" s="1" t="str">
        <f>"0159831"</f>
        <v>0159831</v>
      </c>
      <c r="I955" s="1" t="str">
        <f t="shared" si="134"/>
        <v>M</v>
      </c>
      <c r="J955" s="2">
        <v>2000</v>
      </c>
      <c r="K955" s="1" t="str">
        <f>"1k"</f>
        <v>1k</v>
      </c>
      <c r="L955" s="1" t="s">
        <v>129</v>
      </c>
      <c r="M955" s="1" t="str">
        <f>"+100"</f>
        <v>+100</v>
      </c>
      <c r="N955" s="1" t="str">
        <f>""</f>
        <v/>
      </c>
      <c r="O955" s="1">
        <v>2</v>
      </c>
      <c r="P955" s="1"/>
      <c r="Q955" t="s">
        <v>306</v>
      </c>
    </row>
    <row r="956" spans="1:17" x14ac:dyDescent="0.25">
      <c r="A956" t="str">
        <f>"2018-10-25 16:12:04"</f>
        <v>2018-10-25 16:12:04</v>
      </c>
      <c r="B956" s="1" t="str">
        <f>""</f>
        <v/>
      </c>
      <c r="C956" s="4" t="str">
        <f>"Club de judo de la vieille capitale"</f>
        <v>Club de judo de la vieille capitale</v>
      </c>
      <c r="D956" s="4" t="str">
        <f>"QC"</f>
        <v>QC</v>
      </c>
      <c r="E956" s="4" t="str">
        <f>"Quebec"</f>
        <v>Quebec</v>
      </c>
      <c r="F956" s="4" t="str">
        <f>"Coralie"</f>
        <v>Coralie</v>
      </c>
      <c r="G956" s="4" t="str">
        <f>"Godbout"</f>
        <v>Godbout</v>
      </c>
      <c r="H956" s="4" t="str">
        <f>"0155845"</f>
        <v>0155845</v>
      </c>
      <c r="I956" s="4" t="str">
        <f t="shared" ref="I956:I969" si="140">"F"</f>
        <v>F</v>
      </c>
      <c r="J956" s="5">
        <v>2001</v>
      </c>
      <c r="K956" s="4" t="str">
        <f>"1D"</f>
        <v>1D</v>
      </c>
      <c r="L956" s="4" t="s">
        <v>129</v>
      </c>
      <c r="M956" s="4" t="str">
        <f>"+78"</f>
        <v>+78</v>
      </c>
      <c r="N956" s="4" t="str">
        <f>""</f>
        <v/>
      </c>
      <c r="O956" s="4">
        <v>2</v>
      </c>
      <c r="P956" s="1" t="s">
        <v>137</v>
      </c>
      <c r="Q956" t="s">
        <v>138</v>
      </c>
    </row>
    <row r="957" spans="1:17" x14ac:dyDescent="0.25">
      <c r="A957" t="str">
        <f>"2018-10-24 21:02:24"</f>
        <v>2018-10-24 21:02:24</v>
      </c>
      <c r="B957" s="1" t="str">
        <f>""</f>
        <v/>
      </c>
      <c r="C957" s="1" t="str">
        <f>"Hart Judo Academy"</f>
        <v>Hart Judo Academy</v>
      </c>
      <c r="D957" s="1" t="str">
        <f>"BC"</f>
        <v>BC</v>
      </c>
      <c r="E957" s="1" t="str">
        <f>"British Columbia"</f>
        <v>British Columbia</v>
      </c>
      <c r="F957" s="1" t="str">
        <f>"Brooke"</f>
        <v>Brooke</v>
      </c>
      <c r="G957" s="1" t="str">
        <f>"Corbett"</f>
        <v>Corbett</v>
      </c>
      <c r="H957" s="1" t="str">
        <f>"0200147"</f>
        <v>0200147</v>
      </c>
      <c r="I957" s="1" t="str">
        <f t="shared" si="140"/>
        <v>F</v>
      </c>
      <c r="J957" s="2">
        <v>2001</v>
      </c>
      <c r="K957" s="1" t="str">
        <f>"2k"</f>
        <v>2k</v>
      </c>
      <c r="L957" s="1" t="s">
        <v>129</v>
      </c>
      <c r="M957" s="1" t="str">
        <f>"-48"</f>
        <v>-48</v>
      </c>
      <c r="N957" s="1" t="str">
        <f>""</f>
        <v/>
      </c>
      <c r="O957" s="1">
        <v>2</v>
      </c>
      <c r="P957" s="1"/>
      <c r="Q957" t="s">
        <v>307</v>
      </c>
    </row>
    <row r="958" spans="1:17" x14ac:dyDescent="0.25">
      <c r="A958" t="str">
        <f>"2018-10-17 10:47:32"</f>
        <v>2018-10-17 10:47:32</v>
      </c>
      <c r="B958" s="1" t="str">
        <f>""</f>
        <v/>
      </c>
      <c r="C958" s="1" t="str">
        <f>"Burnaby Judo Club"</f>
        <v>Burnaby Judo Club</v>
      </c>
      <c r="D958" s="1" t="str">
        <f>"BC"</f>
        <v>BC</v>
      </c>
      <c r="E958" s="1" t="str">
        <f>"British Columbia"</f>
        <v>British Columbia</v>
      </c>
      <c r="F958" s="1" t="str">
        <f>"Klavdia"</f>
        <v>Klavdia</v>
      </c>
      <c r="G958" s="1" t="str">
        <f>"Danilkov"</f>
        <v>Danilkov</v>
      </c>
      <c r="H958" s="1" t="str">
        <f>"0193694"</f>
        <v>0193694</v>
      </c>
      <c r="I958" s="1" t="str">
        <f t="shared" si="140"/>
        <v>F</v>
      </c>
      <c r="J958" s="2">
        <v>2003</v>
      </c>
      <c r="K958" s="1" t="str">
        <f>"1k"</f>
        <v>1k</v>
      </c>
      <c r="L958" s="10" t="s">
        <v>129</v>
      </c>
      <c r="M958" s="1" t="str">
        <f>"-48"</f>
        <v>-48</v>
      </c>
      <c r="N958" s="1" t="str">
        <f>""</f>
        <v/>
      </c>
      <c r="O958" s="1">
        <v>2</v>
      </c>
      <c r="P958" s="1"/>
      <c r="Q958" t="s">
        <v>307</v>
      </c>
    </row>
    <row r="959" spans="1:17" x14ac:dyDescent="0.25">
      <c r="A959" t="str">
        <f>"2018-10-25 16:12:04"</f>
        <v>2018-10-25 16:12:04</v>
      </c>
      <c r="B959" s="1" t="str">
        <f>""</f>
        <v/>
      </c>
      <c r="C959" s="1" t="str">
        <f>"Prince George Judo Club"</f>
        <v>Prince George Judo Club</v>
      </c>
      <c r="D959" s="1" t="str">
        <f>"BC"</f>
        <v>BC</v>
      </c>
      <c r="E959" s="1" t="str">
        <f>"British Columbia"</f>
        <v>British Columbia</v>
      </c>
      <c r="F959" s="1" t="str">
        <f>"Tami"</f>
        <v>Tami</v>
      </c>
      <c r="G959" s="1" t="str">
        <f>"Goto"</f>
        <v>Goto</v>
      </c>
      <c r="H959" s="1" t="str">
        <f>"0153967"</f>
        <v>0153967</v>
      </c>
      <c r="I959" s="1" t="str">
        <f t="shared" si="140"/>
        <v>F</v>
      </c>
      <c r="J959" s="2">
        <v>2002</v>
      </c>
      <c r="K959" s="1" t="str">
        <f>"1D"</f>
        <v>1D</v>
      </c>
      <c r="L959" s="10" t="s">
        <v>129</v>
      </c>
      <c r="M959" s="1" t="str">
        <f>"-48"</f>
        <v>-48</v>
      </c>
      <c r="N959" s="1" t="str">
        <f>""</f>
        <v/>
      </c>
      <c r="O959" s="1">
        <v>2</v>
      </c>
      <c r="P959" s="1"/>
      <c r="Q959" t="s">
        <v>307</v>
      </c>
    </row>
    <row r="960" spans="1:17" x14ac:dyDescent="0.25">
      <c r="A960" t="str">
        <f>"2018-10-23 20:47:47"</f>
        <v>2018-10-23 20:47:47</v>
      </c>
      <c r="B960" s="1" t="str">
        <f>""</f>
        <v/>
      </c>
      <c r="C960" s="1" t="str">
        <f>"Hart Judo Academy"</f>
        <v>Hart Judo Academy</v>
      </c>
      <c r="D960" s="1" t="str">
        <f>"BC"</f>
        <v>BC</v>
      </c>
      <c r="E960" s="1" t="str">
        <f>"British Columbia"</f>
        <v>British Columbia</v>
      </c>
      <c r="F960" s="1" t="str">
        <f>"Kimiko"</f>
        <v>Kimiko</v>
      </c>
      <c r="G960" s="1" t="str">
        <f>"Kamstra"</f>
        <v>Kamstra</v>
      </c>
      <c r="H960" s="1" t="str">
        <f>"0163541"</f>
        <v>0163541</v>
      </c>
      <c r="I960" s="1" t="str">
        <f t="shared" si="140"/>
        <v>F</v>
      </c>
      <c r="J960" s="2">
        <v>2001</v>
      </c>
      <c r="K960" s="1" t="str">
        <f>"1k"</f>
        <v>1k</v>
      </c>
      <c r="L960" s="1" t="s">
        <v>129</v>
      </c>
      <c r="M960" s="1" t="str">
        <f>"-48"</f>
        <v>-48</v>
      </c>
      <c r="N960" s="1" t="str">
        <f>""</f>
        <v/>
      </c>
      <c r="O960" s="1">
        <v>2</v>
      </c>
      <c r="P960" s="1"/>
      <c r="Q960" t="s">
        <v>307</v>
      </c>
    </row>
    <row r="961" spans="1:17" x14ac:dyDescent="0.25">
      <c r="B961" s="1" t="str">
        <f>"2018-10-22 11:34:24"</f>
        <v>2018-10-22 11:34:24</v>
      </c>
      <c r="C961" s="1" t="str">
        <f>"Bushidokan"</f>
        <v>Bushidokan</v>
      </c>
      <c r="D961" s="1" t="str">
        <f>"QC"</f>
        <v>QC</v>
      </c>
      <c r="E961" s="1" t="str">
        <f>"Quebec"</f>
        <v>Quebec</v>
      </c>
      <c r="F961" s="1" t="str">
        <f>"Mélodie"</f>
        <v>Mélodie</v>
      </c>
      <c r="G961" s="1" t="str">
        <f>"Mailhot-Senez"</f>
        <v>Mailhot-Senez</v>
      </c>
      <c r="H961" s="1" t="str">
        <f>"0146269"</f>
        <v>0146269</v>
      </c>
      <c r="I961" s="1" t="str">
        <f t="shared" si="140"/>
        <v>F</v>
      </c>
      <c r="J961" s="2">
        <v>2001</v>
      </c>
      <c r="K961" s="1" t="str">
        <f>"1k"</f>
        <v>1k</v>
      </c>
      <c r="L961" s="1" t="s">
        <v>129</v>
      </c>
      <c r="M961" s="8">
        <v>-48</v>
      </c>
      <c r="N961" s="1" t="str">
        <f>""</f>
        <v/>
      </c>
      <c r="O961" s="1">
        <v>2</v>
      </c>
      <c r="P961" s="10"/>
      <c r="Q961" t="s">
        <v>307</v>
      </c>
    </row>
    <row r="962" spans="1:17" x14ac:dyDescent="0.25">
      <c r="A962" t="str">
        <f>"2018-10-22 18:02:49"</f>
        <v>2018-10-22 18:02:49</v>
      </c>
      <c r="B962" s="1" t="str">
        <f>""</f>
        <v/>
      </c>
      <c r="C962" s="1" t="str">
        <f>"Club de Judo d'Asbestos-Danville"</f>
        <v>Club de Judo d'Asbestos-Danville</v>
      </c>
      <c r="D962" s="1" t="str">
        <f>"QC"</f>
        <v>QC</v>
      </c>
      <c r="E962" s="1" t="str">
        <f>"Quebec"</f>
        <v>Quebec</v>
      </c>
      <c r="F962" s="1" t="str">
        <f>"Léa"</f>
        <v>Léa</v>
      </c>
      <c r="G962" s="1" t="str">
        <f>"Roy"</f>
        <v>Roy</v>
      </c>
      <c r="H962" s="1" t="str">
        <f>"0143531"</f>
        <v>0143531</v>
      </c>
      <c r="I962" s="1" t="str">
        <f t="shared" si="140"/>
        <v>F</v>
      </c>
      <c r="J962" s="2">
        <v>2000</v>
      </c>
      <c r="K962" s="1" t="str">
        <f>"1D"</f>
        <v>1D</v>
      </c>
      <c r="L962" s="1" t="s">
        <v>129</v>
      </c>
      <c r="M962" s="1" t="str">
        <f>"-48"</f>
        <v>-48</v>
      </c>
      <c r="N962" s="1" t="str">
        <f>""</f>
        <v/>
      </c>
      <c r="O962" s="1">
        <v>2</v>
      </c>
      <c r="P962" s="1"/>
      <c r="Q962" t="s">
        <v>307</v>
      </c>
    </row>
    <row r="963" spans="1:17" x14ac:dyDescent="0.25">
      <c r="A963" t="str">
        <f>"2018-10-19 11:17:37"</f>
        <v>2018-10-19 11:17:37</v>
      </c>
      <c r="B963" s="1" t="str">
        <f>""</f>
        <v/>
      </c>
      <c r="C963" s="1" t="str">
        <f>"Académie de Judo de Sept-Iles Inc."</f>
        <v>Académie de Judo de Sept-Iles Inc.</v>
      </c>
      <c r="D963" s="1" t="str">
        <f>"QC"</f>
        <v>QC</v>
      </c>
      <c r="E963" s="1" t="str">
        <f>"Quebec"</f>
        <v>Quebec</v>
      </c>
      <c r="F963" s="1" t="str">
        <f>"Sabrina"</f>
        <v>Sabrina</v>
      </c>
      <c r="G963" s="1" t="str">
        <f>"Scremin"</f>
        <v>Scremin</v>
      </c>
      <c r="H963" s="1" t="str">
        <f>"0145868"</f>
        <v>0145868</v>
      </c>
      <c r="I963" s="1" t="str">
        <f t="shared" si="140"/>
        <v>F</v>
      </c>
      <c r="J963" s="2">
        <v>2000</v>
      </c>
      <c r="K963" s="1" t="str">
        <f>"1D"</f>
        <v>1D</v>
      </c>
      <c r="L963" s="1" t="str">
        <f>"U21"</f>
        <v>U21</v>
      </c>
      <c r="M963" s="1" t="str">
        <f>"-48"</f>
        <v>-48</v>
      </c>
      <c r="N963" s="1" t="str">
        <f>""</f>
        <v/>
      </c>
      <c r="O963" s="1">
        <v>1</v>
      </c>
      <c r="P963" s="1"/>
      <c r="Q963" t="s">
        <v>307</v>
      </c>
    </row>
    <row r="964" spans="1:17" x14ac:dyDescent="0.25">
      <c r="A964" t="str">
        <f>"2018-10-21 19:27:08"</f>
        <v>2018-10-21 19:27:08</v>
      </c>
      <c r="B964" s="1" t="str">
        <f>""</f>
        <v/>
      </c>
      <c r="C964" s="1" t="str">
        <f>"Hiro's Judo Club"</f>
        <v>Hiro's Judo Club</v>
      </c>
      <c r="D964" s="1" t="str">
        <f>"AB"</f>
        <v>AB</v>
      </c>
      <c r="E964" s="1" t="str">
        <f>"Alberta"</f>
        <v>Alberta</v>
      </c>
      <c r="F964" s="1" t="str">
        <f>"Despina"</f>
        <v>Despina</v>
      </c>
      <c r="G964" s="1" t="str">
        <f>"Christou"</f>
        <v>Christou</v>
      </c>
      <c r="H964" s="1" t="str">
        <f>"0150583"</f>
        <v>0150583</v>
      </c>
      <c r="I964" s="1" t="str">
        <f t="shared" si="140"/>
        <v>F</v>
      </c>
      <c r="J964" s="2">
        <v>2001</v>
      </c>
      <c r="K964" s="1" t="str">
        <f>"1k"</f>
        <v>1k</v>
      </c>
      <c r="L964" s="1" t="s">
        <v>129</v>
      </c>
      <c r="M964" s="1" t="str">
        <f t="shared" ref="M964:M969" si="141">"-52"</f>
        <v>-52</v>
      </c>
      <c r="N964" s="1" t="str">
        <f>""</f>
        <v/>
      </c>
      <c r="O964" s="1">
        <v>2</v>
      </c>
      <c r="P964" s="1"/>
      <c r="Q964" t="s">
        <v>308</v>
      </c>
    </row>
    <row r="965" spans="1:17" x14ac:dyDescent="0.25">
      <c r="A965" t="str">
        <f>"2018-10-18 18:49:01"</f>
        <v>2018-10-18 18:49:01</v>
      </c>
      <c r="B965" s="1" t="str">
        <f>""</f>
        <v/>
      </c>
      <c r="C965" s="1" t="str">
        <f>"Abbotsford Judo Club"</f>
        <v>Abbotsford Judo Club</v>
      </c>
      <c r="D965" s="1" t="str">
        <f>"BC"</f>
        <v>BC</v>
      </c>
      <c r="E965" s="1" t="str">
        <f>"British Columbia"</f>
        <v>British Columbia</v>
      </c>
      <c r="F965" s="1" t="str">
        <f>"Launa"</f>
        <v>Launa</v>
      </c>
      <c r="G965" s="1" t="str">
        <f>"Hinton"</f>
        <v>Hinton</v>
      </c>
      <c r="H965" s="1" t="str">
        <f>"0199104"</f>
        <v>0199104</v>
      </c>
      <c r="I965" s="1" t="str">
        <f t="shared" si="140"/>
        <v>F</v>
      </c>
      <c r="J965" s="2">
        <v>2000</v>
      </c>
      <c r="K965" s="1" t="str">
        <f>"1D"</f>
        <v>1D</v>
      </c>
      <c r="L965" s="1" t="s">
        <v>129</v>
      </c>
      <c r="M965" s="1" t="str">
        <f t="shared" si="141"/>
        <v>-52</v>
      </c>
      <c r="N965" s="1" t="str">
        <f>""</f>
        <v/>
      </c>
      <c r="O965" s="1">
        <v>2</v>
      </c>
      <c r="P965" s="1"/>
      <c r="Q965" t="s">
        <v>308</v>
      </c>
    </row>
    <row r="966" spans="1:17" x14ac:dyDescent="0.25">
      <c r="A966" t="str">
        <f>"2018-10-25 10:00:49"</f>
        <v>2018-10-25 10:00:49</v>
      </c>
      <c r="B966" s="1" t="str">
        <f>""</f>
        <v/>
      </c>
      <c r="C966" s="1" t="str">
        <f>"Lethbridge Kyodokan Judo Club"</f>
        <v>Lethbridge Kyodokan Judo Club</v>
      </c>
      <c r="D966" s="1" t="str">
        <f>"AB"</f>
        <v>AB</v>
      </c>
      <c r="E966" s="1" t="str">
        <f>"Alberta"</f>
        <v>Alberta</v>
      </c>
      <c r="F966" s="1" t="str">
        <f>"Taeya"</f>
        <v>Taeya</v>
      </c>
      <c r="G966" s="1" t="str">
        <f>"Koliaska"</f>
        <v>Koliaska</v>
      </c>
      <c r="H966" s="1" t="str">
        <f>"0156660"</f>
        <v>0156660</v>
      </c>
      <c r="I966" s="1" t="str">
        <f t="shared" si="140"/>
        <v>F</v>
      </c>
      <c r="J966" s="2">
        <v>1999</v>
      </c>
      <c r="K966" s="1" t="str">
        <f>"1D"</f>
        <v>1D</v>
      </c>
      <c r="L966" s="1" t="s">
        <v>129</v>
      </c>
      <c r="M966" s="1" t="str">
        <f t="shared" si="141"/>
        <v>-52</v>
      </c>
      <c r="N966" s="1" t="str">
        <f>""</f>
        <v/>
      </c>
      <c r="O966" s="1">
        <v>2</v>
      </c>
      <c r="P966" s="1"/>
      <c r="Q966" t="s">
        <v>308</v>
      </c>
    </row>
    <row r="967" spans="1:17" x14ac:dyDescent="0.25">
      <c r="A967" t="str">
        <f>"2018-10-18 12:01:27"</f>
        <v>2018-10-18 12:01:27</v>
      </c>
      <c r="B967" s="1" t="str">
        <f>""</f>
        <v/>
      </c>
      <c r="C967" s="1" t="str">
        <f>"Club de judo Métropolitain inc."</f>
        <v>Club de judo Métropolitain inc.</v>
      </c>
      <c r="D967" s="1" t="str">
        <f>"QC"</f>
        <v>QC</v>
      </c>
      <c r="E967" s="1" t="str">
        <f>"Quebec"</f>
        <v>Quebec</v>
      </c>
      <c r="F967" s="1" t="str">
        <f>"Sarah"</f>
        <v>Sarah</v>
      </c>
      <c r="G967" s="1" t="str">
        <f>"Maloum"</f>
        <v>Maloum</v>
      </c>
      <c r="H967" s="1" t="str">
        <f>"0154954"</f>
        <v>0154954</v>
      </c>
      <c r="I967" s="1" t="str">
        <f t="shared" si="140"/>
        <v>F</v>
      </c>
      <c r="J967" s="2">
        <v>2001</v>
      </c>
      <c r="K967" s="1" t="str">
        <f>"1D"</f>
        <v>1D</v>
      </c>
      <c r="L967" s="1" t="s">
        <v>129</v>
      </c>
      <c r="M967" s="1" t="str">
        <f t="shared" si="141"/>
        <v>-52</v>
      </c>
      <c r="N967" s="1" t="str">
        <f>"-52kg"</f>
        <v>-52kg</v>
      </c>
      <c r="O967" s="1">
        <v>2</v>
      </c>
      <c r="P967" s="1"/>
      <c r="Q967" t="s">
        <v>308</v>
      </c>
    </row>
    <row r="968" spans="1:17" x14ac:dyDescent="0.25">
      <c r="A968" t="str">
        <f>"2018-10-17 19:52:59"</f>
        <v>2018-10-17 19:52:59</v>
      </c>
      <c r="B968" s="1" t="str">
        <f>"2018-10-10 09:49:40"</f>
        <v>2018-10-10 09:49:40</v>
      </c>
      <c r="C968" s="1" t="str">
        <f>"Bushido"</f>
        <v>Bushido</v>
      </c>
      <c r="D968" s="1" t="str">
        <f>"NB"</f>
        <v>NB</v>
      </c>
      <c r="E968" s="1" t="str">
        <f>"New Brunswick"</f>
        <v>New Brunswick</v>
      </c>
      <c r="F968" s="1" t="str">
        <f>"Rebecca"</f>
        <v>Rebecca</v>
      </c>
      <c r="G968" s="1" t="str">
        <f>"Ouellette"</f>
        <v>Ouellette</v>
      </c>
      <c r="H968" s="1" t="str">
        <f>"0185064"</f>
        <v>0185064</v>
      </c>
      <c r="I968" s="1" t="str">
        <f t="shared" si="140"/>
        <v>F</v>
      </c>
      <c r="J968" s="2">
        <v>2001</v>
      </c>
      <c r="K968" s="1" t="str">
        <f>"1D"</f>
        <v>1D</v>
      </c>
      <c r="L968" s="1" t="str">
        <f>"U21"</f>
        <v>U21</v>
      </c>
      <c r="M968" s="1" t="str">
        <f t="shared" si="141"/>
        <v>-52</v>
      </c>
      <c r="N968" s="1" t="str">
        <f>""</f>
        <v/>
      </c>
      <c r="O968" s="1">
        <v>1</v>
      </c>
      <c r="P968" s="1"/>
      <c r="Q968" t="s">
        <v>308</v>
      </c>
    </row>
    <row r="969" spans="1:17" x14ac:dyDescent="0.25">
      <c r="A969" t="str">
        <f>"2018-09-26 09:01:30"</f>
        <v>2018-09-26 09:01:30</v>
      </c>
      <c r="B969" s="1" t="str">
        <f>""</f>
        <v/>
      </c>
      <c r="C969" s="1" t="str">
        <f>"Shin Bu Kan"</f>
        <v>Shin Bu Kan</v>
      </c>
      <c r="D969" s="1" t="str">
        <f>"ON"</f>
        <v>ON</v>
      </c>
      <c r="E969" s="1" t="str">
        <f>"Ontario"</f>
        <v>Ontario</v>
      </c>
      <c r="F969" s="1" t="str">
        <f>"Anushka"</f>
        <v>Anushka</v>
      </c>
      <c r="G969" s="1" t="str">
        <f>"Rajaram"</f>
        <v>Rajaram</v>
      </c>
      <c r="H969" s="1" t="str">
        <f>"0195380"</f>
        <v>0195380</v>
      </c>
      <c r="I969" s="1" t="str">
        <f t="shared" si="140"/>
        <v>F</v>
      </c>
      <c r="J969" s="2">
        <v>2001</v>
      </c>
      <c r="K969" s="1" t="str">
        <f>"2k"</f>
        <v>2k</v>
      </c>
      <c r="L969" s="1" t="s">
        <v>129</v>
      </c>
      <c r="M969" s="1" t="str">
        <f t="shared" si="141"/>
        <v>-52</v>
      </c>
      <c r="N969" s="1" t="str">
        <f>""</f>
        <v/>
      </c>
      <c r="O969" s="1">
        <v>2</v>
      </c>
      <c r="P969" s="1"/>
      <c r="Q969" t="s">
        <v>308</v>
      </c>
    </row>
    <row r="970" spans="1:17" x14ac:dyDescent="0.25">
      <c r="A970" t="str">
        <f>"2018-10-19 17:56:20"</f>
        <v>2018-10-19 17:56:20</v>
      </c>
      <c r="B970" s="1" t="str">
        <f>""</f>
        <v/>
      </c>
      <c r="C970" s="1" t="str">
        <f>"Tora judo club"</f>
        <v>Tora judo club</v>
      </c>
      <c r="D970" s="1" t="str">
        <f>"ON"</f>
        <v>ON</v>
      </c>
      <c r="E970" s="1" t="str">
        <f>"Ontario"</f>
        <v>Ontario</v>
      </c>
      <c r="F970" s="1" t="str">
        <f>"Ryan"</f>
        <v>Ryan</v>
      </c>
      <c r="G970" s="1" t="str">
        <f>"Conklin-Bric"</f>
        <v>Conklin-Bric</v>
      </c>
      <c r="H970" s="1" t="str">
        <f>"0160687"</f>
        <v>0160687</v>
      </c>
      <c r="I970" s="1" t="str">
        <f>"M"</f>
        <v>M</v>
      </c>
      <c r="J970" s="2">
        <v>2001</v>
      </c>
      <c r="K970" s="1" t="str">
        <f>"1k"</f>
        <v>1k</v>
      </c>
      <c r="L970" s="1" t="s">
        <v>129</v>
      </c>
      <c r="M970" s="1" t="str">
        <f>"-55"</f>
        <v>-55</v>
      </c>
      <c r="N970" s="1" t="str">
        <f>""</f>
        <v/>
      </c>
      <c r="O970" s="1">
        <v>2</v>
      </c>
      <c r="P970" s="1"/>
      <c r="Q970" t="s">
        <v>309</v>
      </c>
    </row>
    <row r="971" spans="1:17" x14ac:dyDescent="0.25">
      <c r="A971" t="str">
        <f>"2018-10-25 17:07:44"</f>
        <v>2018-10-25 17:07:44</v>
      </c>
      <c r="B971" s="1" t="str">
        <f>""</f>
        <v/>
      </c>
      <c r="C971" s="1" t="str">
        <f>"Club judokas Jonquière inc."</f>
        <v>Club judokas Jonquière inc.</v>
      </c>
      <c r="D971" s="1" t="str">
        <f>"QC"</f>
        <v>QC</v>
      </c>
      <c r="E971" s="1" t="str">
        <f>"Quebec"</f>
        <v>Quebec</v>
      </c>
      <c r="F971" s="1" t="str">
        <f>"Jacob"</f>
        <v>Jacob</v>
      </c>
      <c r="G971" s="1" t="str">
        <f>"Desbiens"</f>
        <v>Desbiens</v>
      </c>
      <c r="H971" s="1" t="str">
        <f>"0163278"</f>
        <v>0163278</v>
      </c>
      <c r="I971" s="1" t="str">
        <f>"M"</f>
        <v>M</v>
      </c>
      <c r="J971" s="2">
        <v>2001</v>
      </c>
      <c r="K971" s="1" t="str">
        <f>"1k"</f>
        <v>1k</v>
      </c>
      <c r="L971" s="1" t="str">
        <f>"U21"</f>
        <v>U21</v>
      </c>
      <c r="M971" s="1" t="str">
        <f>"-55"</f>
        <v>-55</v>
      </c>
      <c r="N971" s="1" t="str">
        <f>""</f>
        <v/>
      </c>
      <c r="O971" s="1">
        <v>1</v>
      </c>
      <c r="P971" s="1"/>
      <c r="Q971" t="s">
        <v>309</v>
      </c>
    </row>
    <row r="972" spans="1:17" x14ac:dyDescent="0.25">
      <c r="A972" t="str">
        <f>"2018-10-25 01:27:32"</f>
        <v>2018-10-25 01:27:32</v>
      </c>
      <c r="B972" s="1" t="str">
        <f>""</f>
        <v/>
      </c>
      <c r="C972" s="1" t="str">
        <f>"Club de judo Albatros Inc."</f>
        <v>Club de judo Albatros Inc.</v>
      </c>
      <c r="D972" s="1" t="str">
        <f>"QC"</f>
        <v>QC</v>
      </c>
      <c r="E972" s="1" t="str">
        <f>"Quebec"</f>
        <v>Quebec</v>
      </c>
      <c r="F972" s="1" t="str">
        <f>"Émile"</f>
        <v>Émile</v>
      </c>
      <c r="G972" s="1" t="str">
        <f>"Drolet"</f>
        <v>Drolet</v>
      </c>
      <c r="H972" s="1" t="str">
        <f>"0154900"</f>
        <v>0154900</v>
      </c>
      <c r="I972" s="1" t="str">
        <f>"M"</f>
        <v>M</v>
      </c>
      <c r="J972" s="2">
        <v>2001</v>
      </c>
      <c r="K972" s="1" t="str">
        <f>"1k"</f>
        <v>1k</v>
      </c>
      <c r="L972" s="1" t="str">
        <f>"U21"</f>
        <v>U21</v>
      </c>
      <c r="M972" s="1" t="str">
        <f>"-55"</f>
        <v>-55</v>
      </c>
      <c r="N972" s="1" t="str">
        <f>""</f>
        <v/>
      </c>
      <c r="O972" s="1">
        <v>1</v>
      </c>
      <c r="P972" s="1"/>
      <c r="Q972" t="s">
        <v>309</v>
      </c>
    </row>
    <row r="973" spans="1:17" x14ac:dyDescent="0.25">
      <c r="A973" t="str">
        <f>"2018-10-17 19:24:07"</f>
        <v>2018-10-17 19:24:07</v>
      </c>
      <c r="B973" s="1" t="str">
        <f>""</f>
        <v/>
      </c>
      <c r="C973" s="1" t="str">
        <f>"Dojo Zenshin"</f>
        <v>Dojo Zenshin</v>
      </c>
      <c r="D973" s="1" t="str">
        <f>"QC"</f>
        <v>QC</v>
      </c>
      <c r="E973" s="1" t="str">
        <f>"Quebec"</f>
        <v>Quebec</v>
      </c>
      <c r="F973" s="1" t="str">
        <f>"Mathieu"</f>
        <v>Mathieu</v>
      </c>
      <c r="G973" s="1" t="str">
        <f>"Ganet"</f>
        <v>Ganet</v>
      </c>
      <c r="H973" s="1" t="str">
        <f>"0229650"</f>
        <v>0229650</v>
      </c>
      <c r="I973" s="1" t="str">
        <f>"M"</f>
        <v>M</v>
      </c>
      <c r="J973" s="2">
        <v>2001</v>
      </c>
      <c r="K973" s="1" t="str">
        <f>"1D"</f>
        <v>1D</v>
      </c>
      <c r="L973" s="1" t="str">
        <f>"U21"</f>
        <v>U21</v>
      </c>
      <c r="M973" s="1" t="str">
        <f>"-55"</f>
        <v>-55</v>
      </c>
      <c r="N973" s="1" t="str">
        <f>""</f>
        <v/>
      </c>
      <c r="O973" s="1">
        <v>1</v>
      </c>
      <c r="P973" s="1"/>
      <c r="Q973" t="s">
        <v>309</v>
      </c>
    </row>
    <row r="974" spans="1:17" x14ac:dyDescent="0.25">
      <c r="A974" t="str">
        <f>"2018-10-17 19:52:59"</f>
        <v>2018-10-17 19:52:59</v>
      </c>
      <c r="B974" s="1" t="str">
        <f>"2018-10-25 20:18:05"</f>
        <v>2018-10-25 20:18:05</v>
      </c>
      <c r="C974" s="1" t="str">
        <f>"Invermere Judo Club"</f>
        <v>Invermere Judo Club</v>
      </c>
      <c r="D974" s="1" t="str">
        <f>"BC"</f>
        <v>BC</v>
      </c>
      <c r="E974" s="1" t="str">
        <f>"British Columbia"</f>
        <v>British Columbia</v>
      </c>
      <c r="F974" s="1" t="str">
        <f>"Graham"</f>
        <v>Graham</v>
      </c>
      <c r="G974" s="1" t="str">
        <f>"Norquay"</f>
        <v>Norquay</v>
      </c>
      <c r="H974" s="1" t="str">
        <f>"0153738"</f>
        <v>0153738</v>
      </c>
      <c r="I974" s="1" t="str">
        <f>"M"</f>
        <v>M</v>
      </c>
      <c r="J974" s="2">
        <v>2002</v>
      </c>
      <c r="K974" s="1" t="str">
        <f>"1k"</f>
        <v>1k</v>
      </c>
      <c r="L974" s="1" t="s">
        <v>129</v>
      </c>
      <c r="M974" s="1" t="str">
        <f>"-55"</f>
        <v>-55</v>
      </c>
      <c r="N974" s="1" t="str">
        <f>"-60"</f>
        <v>-60</v>
      </c>
      <c r="O974" s="1">
        <v>2</v>
      </c>
      <c r="P974" s="1"/>
      <c r="Q974" t="s">
        <v>309</v>
      </c>
    </row>
    <row r="975" spans="1:17" x14ac:dyDescent="0.25">
      <c r="A975" t="str">
        <f>"2018-10-20 19:57:20"</f>
        <v>2018-10-20 19:57:20</v>
      </c>
      <c r="B975" s="1" t="str">
        <f>""</f>
        <v/>
      </c>
      <c r="C975" s="1" t="str">
        <f>"Pedro's Judo National Team Force"</f>
        <v>Pedro's Judo National Team Force</v>
      </c>
      <c r="D975" s="1" t="s">
        <v>106</v>
      </c>
      <c r="E975" s="1" t="str">
        <f>"Connecticut"</f>
        <v>Connecticut</v>
      </c>
      <c r="F975" s="1" t="str">
        <f>"Skyler"</f>
        <v>Skyler</v>
      </c>
      <c r="G975" s="1" t="str">
        <f>"Cummings"</f>
        <v>Cummings</v>
      </c>
      <c r="H975" s="1" t="str">
        <f>"AutreFederation"</f>
        <v>AutreFederation</v>
      </c>
      <c r="I975" s="1" t="str">
        <f>"F"</f>
        <v>F</v>
      </c>
      <c r="J975" s="2">
        <v>2001</v>
      </c>
      <c r="K975" s="1" t="str">
        <f>"1D"</f>
        <v>1D</v>
      </c>
      <c r="L975" s="1" t="s">
        <v>129</v>
      </c>
      <c r="M975" s="1" t="str">
        <f t="shared" ref="M975:M984" si="142">"-57"</f>
        <v>-57</v>
      </c>
      <c r="N975" s="1" t="str">
        <f>"-57kg"</f>
        <v>-57kg</v>
      </c>
      <c r="O975" s="1">
        <v>2</v>
      </c>
      <c r="P975" s="1"/>
      <c r="Q975" t="s">
        <v>310</v>
      </c>
    </row>
    <row r="976" spans="1:17" x14ac:dyDescent="0.25">
      <c r="A976" t="str">
        <f>"2018-10-18 21:17:02"</f>
        <v>2018-10-18 21:17:02</v>
      </c>
      <c r="B976" s="1" t="str">
        <f>""</f>
        <v/>
      </c>
      <c r="C976" s="1" t="str">
        <f>"judo Magog"</f>
        <v>judo Magog</v>
      </c>
      <c r="D976" s="1" t="str">
        <f>"QC"</f>
        <v>QC</v>
      </c>
      <c r="E976" s="1" t="str">
        <f>"Quebec"</f>
        <v>Quebec</v>
      </c>
      <c r="F976" s="1" t="str">
        <f>"Marie Garance"</f>
        <v>Marie Garance</v>
      </c>
      <c r="G976" s="1" t="str">
        <f>"Degasne"</f>
        <v>Degasne</v>
      </c>
      <c r="H976" s="1" t="str">
        <f>"0189082"</f>
        <v>0189082</v>
      </c>
      <c r="I976" s="1" t="str">
        <f>"F"</f>
        <v>F</v>
      </c>
      <c r="J976" s="2">
        <v>1999</v>
      </c>
      <c r="K976" s="1" t="str">
        <f>"1k"</f>
        <v>1k</v>
      </c>
      <c r="L976" s="1" t="s">
        <v>129</v>
      </c>
      <c r="M976" s="1" t="str">
        <f t="shared" si="142"/>
        <v>-57</v>
      </c>
      <c r="N976" s="1" t="str">
        <f>""</f>
        <v/>
      </c>
      <c r="O976" s="1">
        <v>2</v>
      </c>
      <c r="P976" s="1" t="s">
        <v>311</v>
      </c>
      <c r="Q976" t="s">
        <v>310</v>
      </c>
    </row>
    <row r="977" spans="1:17" x14ac:dyDescent="0.25">
      <c r="A977" t="str">
        <f>"2018-10-18 11:59:08"</f>
        <v>2018-10-18 11:59:08</v>
      </c>
      <c r="B977" s="1" t="str">
        <f>""</f>
        <v/>
      </c>
      <c r="C977" s="1" t="str">
        <f>"Tolide Judo Kwai"</f>
        <v>Tolide Judo Kwai</v>
      </c>
      <c r="D977" s="1" t="str">
        <f>"AB"</f>
        <v>AB</v>
      </c>
      <c r="E977" s="1" t="str">
        <f>"Alberta"</f>
        <v>Alberta</v>
      </c>
      <c r="F977" s="1" t="str">
        <f>"Alexandra"</f>
        <v>Alexandra</v>
      </c>
      <c r="G977" s="1" t="str">
        <f>"Gagnon"</f>
        <v>Gagnon</v>
      </c>
      <c r="H977" s="1" t="str">
        <f>"0167302"</f>
        <v>0167302</v>
      </c>
      <c r="I977" s="1" t="str">
        <f>"F"</f>
        <v>F</v>
      </c>
      <c r="J977" s="2">
        <v>1999</v>
      </c>
      <c r="K977" s="1" t="str">
        <f>"1D"</f>
        <v>1D</v>
      </c>
      <c r="L977" s="1" t="s">
        <v>129</v>
      </c>
      <c r="M977" s="1" t="str">
        <f t="shared" si="142"/>
        <v>-57</v>
      </c>
      <c r="N977" s="1" t="str">
        <f>""</f>
        <v/>
      </c>
      <c r="O977" s="1">
        <v>2</v>
      </c>
      <c r="P977" s="1"/>
      <c r="Q977" t="s">
        <v>310</v>
      </c>
    </row>
    <row r="978" spans="1:17" x14ac:dyDescent="0.25">
      <c r="A978" t="str">
        <f>"2018-10-21 21:45:06"</f>
        <v>2018-10-21 21:45:06</v>
      </c>
      <c r="B978" s="1" t="str">
        <f>""</f>
        <v/>
      </c>
      <c r="C978" s="1" t="str">
        <f>"Vernon Judo Club"</f>
        <v>Vernon Judo Club</v>
      </c>
      <c r="D978" s="1" t="str">
        <f>"BC"</f>
        <v>BC</v>
      </c>
      <c r="E978" s="1" t="str">
        <f>"British Columbia"</f>
        <v>British Columbia</v>
      </c>
      <c r="F978" s="1" t="str">
        <f>"Sydney"</f>
        <v>Sydney</v>
      </c>
      <c r="G978" s="1" t="str">
        <f>"Grevatt"</f>
        <v>Grevatt</v>
      </c>
      <c r="H978" s="1" t="str">
        <f>"0167078"</f>
        <v>0167078</v>
      </c>
      <c r="I978" s="1" t="str">
        <f>"F"</f>
        <v>F</v>
      </c>
      <c r="J978" s="2">
        <v>2001</v>
      </c>
      <c r="K978" s="1" t="str">
        <f>"1k"</f>
        <v>1k</v>
      </c>
      <c r="L978" s="1" t="s">
        <v>129</v>
      </c>
      <c r="M978" s="1" t="str">
        <f t="shared" si="142"/>
        <v>-57</v>
      </c>
      <c r="N978" s="1" t="str">
        <f>""</f>
        <v/>
      </c>
      <c r="O978" s="1">
        <v>2</v>
      </c>
      <c r="P978" s="1"/>
      <c r="Q978" t="s">
        <v>310</v>
      </c>
    </row>
    <row r="979" spans="1:17" x14ac:dyDescent="0.25">
      <c r="A979" t="str">
        <f>"2018-10-21 18:41:29"</f>
        <v>2018-10-21 18:41:29</v>
      </c>
      <c r="B979" s="1" t="str">
        <f>""</f>
        <v/>
      </c>
      <c r="C979" s="1" t="str">
        <f>"Club judokas Jonquière inc."</f>
        <v>Club judokas Jonquière inc.</v>
      </c>
      <c r="D979" s="1" t="str">
        <f>"QC"</f>
        <v>QC</v>
      </c>
      <c r="E979" s="1" t="str">
        <f>"Quebec"</f>
        <v>Quebec</v>
      </c>
      <c r="F979" s="1" t="str">
        <f>"Anne-Clara"</f>
        <v>Anne-Clara</v>
      </c>
      <c r="G979" s="1" t="str">
        <f>"Guérin"</f>
        <v>Guérin</v>
      </c>
      <c r="H979" s="1" t="str">
        <f>"0148201"</f>
        <v>0148201</v>
      </c>
      <c r="I979" s="1" t="str">
        <f>"F"</f>
        <v>F</v>
      </c>
      <c r="J979" s="2">
        <v>2001</v>
      </c>
      <c r="K979" s="1" t="str">
        <f>"1D"</f>
        <v>1D</v>
      </c>
      <c r="L979" s="1" t="str">
        <f>"U21"</f>
        <v>U21</v>
      </c>
      <c r="M979" s="1" t="str">
        <f t="shared" si="142"/>
        <v>-57</v>
      </c>
      <c r="N979" s="1" t="str">
        <f>""</f>
        <v/>
      </c>
      <c r="O979" s="1">
        <v>1</v>
      </c>
      <c r="P979" s="1"/>
      <c r="Q979" t="s">
        <v>310</v>
      </c>
    </row>
    <row r="980" spans="1:17" x14ac:dyDescent="0.25">
      <c r="A980" t="str">
        <f>"2018-10-13 17:28:27"</f>
        <v>2018-10-13 17:28:27</v>
      </c>
      <c r="B980" s="1" t="str">
        <f>"2018-10-24 15:42:41"</f>
        <v>2018-10-24 15:42:41</v>
      </c>
      <c r="C980" s="1" t="str">
        <f>"Upper Canada Judo Club"</f>
        <v>Upper Canada Judo Club</v>
      </c>
      <c r="D980" s="1" t="str">
        <f>"ON"</f>
        <v>ON</v>
      </c>
      <c r="E980" s="1" t="str">
        <f>"Ontario"</f>
        <v>Ontario</v>
      </c>
      <c r="F980" s="1" t="str">
        <f>"Rachel"</f>
        <v>Rachel</v>
      </c>
      <c r="G980" s="1" t="str">
        <f>"Krapman"</f>
        <v>Krapman</v>
      </c>
      <c r="H980" s="1" t="str">
        <f>"0148694"</f>
        <v>0148694</v>
      </c>
      <c r="I980" s="1" t="s">
        <v>20</v>
      </c>
      <c r="J980" s="2">
        <v>2001</v>
      </c>
      <c r="K980" s="1" t="str">
        <f>"1k"</f>
        <v>1k</v>
      </c>
      <c r="L980" s="1" t="s">
        <v>129</v>
      </c>
      <c r="M980" s="1" t="str">
        <f t="shared" si="142"/>
        <v>-57</v>
      </c>
      <c r="N980" s="1" t="str">
        <f>"-57 Female"</f>
        <v>-57 Female</v>
      </c>
      <c r="O980" s="1">
        <v>2</v>
      </c>
      <c r="P980" s="1"/>
      <c r="Q980" t="s">
        <v>310</v>
      </c>
    </row>
    <row r="981" spans="1:17" x14ac:dyDescent="0.25">
      <c r="A981" t="str">
        <f>"2018-10-18 11:56:57"</f>
        <v>2018-10-18 11:56:57</v>
      </c>
      <c r="B981" s="1" t="str">
        <f>""</f>
        <v/>
      </c>
      <c r="C981" s="1" t="str">
        <f>"Steveston Judo Club"</f>
        <v>Steveston Judo Club</v>
      </c>
      <c r="D981" s="1" t="str">
        <f>"BC"</f>
        <v>BC</v>
      </c>
      <c r="E981" s="1" t="str">
        <f>"British Columbia"</f>
        <v>British Columbia</v>
      </c>
      <c r="F981" s="1" t="str">
        <f>"Caleigh"</f>
        <v>Caleigh</v>
      </c>
      <c r="G981" s="1" t="str">
        <f>"Kuramoto"</f>
        <v>Kuramoto</v>
      </c>
      <c r="H981" s="1" t="str">
        <f>"0193210"</f>
        <v>0193210</v>
      </c>
      <c r="I981" s="1" t="str">
        <f>"F"</f>
        <v>F</v>
      </c>
      <c r="J981" s="2">
        <v>2002</v>
      </c>
      <c r="K981" s="1" t="str">
        <f>"1k"</f>
        <v>1k</v>
      </c>
      <c r="L981" s="10" t="s">
        <v>129</v>
      </c>
      <c r="M981" s="1" t="str">
        <f t="shared" si="142"/>
        <v>-57</v>
      </c>
      <c r="N981" s="1" t="str">
        <f>""</f>
        <v/>
      </c>
      <c r="O981" s="1">
        <v>2</v>
      </c>
      <c r="P981" s="1"/>
      <c r="Q981" t="s">
        <v>310</v>
      </c>
    </row>
    <row r="982" spans="1:17" x14ac:dyDescent="0.25">
      <c r="A982" t="str">
        <f>"2018-10-13 17:28:27"</f>
        <v>2018-10-13 17:28:27</v>
      </c>
      <c r="B982" s="1" t="str">
        <f>""</f>
        <v/>
      </c>
      <c r="C982" s="1" t="str">
        <f>"Club Kimo"</f>
        <v>Club Kimo</v>
      </c>
      <c r="D982" s="1" t="str">
        <f>"NB"</f>
        <v>NB</v>
      </c>
      <c r="E982" s="1" t="str">
        <f>"New Brunswick"</f>
        <v>New Brunswick</v>
      </c>
      <c r="F982" s="1" t="str">
        <f>"Yzabelle"</f>
        <v>Yzabelle</v>
      </c>
      <c r="G982" s="1" t="str">
        <f>"Ouellette"</f>
        <v>Ouellette</v>
      </c>
      <c r="H982" s="1" t="str">
        <f>"0158594"</f>
        <v>0158594</v>
      </c>
      <c r="I982" s="1" t="str">
        <f>"F"</f>
        <v>F</v>
      </c>
      <c r="J982" s="2">
        <v>2000</v>
      </c>
      <c r="K982" s="1" t="str">
        <f t="shared" ref="K982:K987" si="143">"1D"</f>
        <v>1D</v>
      </c>
      <c r="L982" s="1" t="str">
        <f>"U21"</f>
        <v>U21</v>
      </c>
      <c r="M982" s="1" t="str">
        <f t="shared" si="142"/>
        <v>-57</v>
      </c>
      <c r="N982" s="1" t="str">
        <f>""</f>
        <v/>
      </c>
      <c r="O982" s="1">
        <v>1</v>
      </c>
      <c r="P982" s="1"/>
      <c r="Q982" t="s">
        <v>310</v>
      </c>
    </row>
    <row r="983" spans="1:17" x14ac:dyDescent="0.25">
      <c r="A983" t="str">
        <f>"2018-10-20 21:39:10"</f>
        <v>2018-10-20 21:39:10</v>
      </c>
      <c r="B983" s="1" t="str">
        <f>""</f>
        <v/>
      </c>
      <c r="C983" s="1" t="str">
        <f>"Club de judo Saint-Hubert"</f>
        <v>Club de judo Saint-Hubert</v>
      </c>
      <c r="D983" s="1" t="str">
        <f>"QC"</f>
        <v>QC</v>
      </c>
      <c r="E983" s="1" t="str">
        <f>"Quebec"</f>
        <v>Quebec</v>
      </c>
      <c r="F983" s="1" t="str">
        <f>"Camelia"</f>
        <v>Camelia</v>
      </c>
      <c r="G983" s="1" t="str">
        <f>"Pitsilis"</f>
        <v>Pitsilis</v>
      </c>
      <c r="H983" s="1" t="str">
        <f>"0098798"</f>
        <v>0098798</v>
      </c>
      <c r="I983" s="1" t="str">
        <f>"F"</f>
        <v>F</v>
      </c>
      <c r="J983" s="2">
        <v>1999</v>
      </c>
      <c r="K983" s="1" t="str">
        <f t="shared" si="143"/>
        <v>1D</v>
      </c>
      <c r="L983" s="1" t="s">
        <v>129</v>
      </c>
      <c r="M983" s="1" t="str">
        <f t="shared" si="142"/>
        <v>-57</v>
      </c>
      <c r="N983" s="1" t="str">
        <f>""</f>
        <v/>
      </c>
      <c r="O983" s="1">
        <v>2</v>
      </c>
      <c r="P983" s="1"/>
      <c r="Q983" t="s">
        <v>310</v>
      </c>
    </row>
    <row r="984" spans="1:17" x14ac:dyDescent="0.25">
      <c r="A984" t="str">
        <f>"2018-10-20 10:10:44"</f>
        <v>2018-10-20 10:10:44</v>
      </c>
      <c r="B984" s="1" t="str">
        <f>""</f>
        <v/>
      </c>
      <c r="C984" s="1" t="str">
        <f>"Atlantic Training Center"</f>
        <v>Atlantic Training Center</v>
      </c>
      <c r="D984" s="1" t="str">
        <f>"NS"</f>
        <v>NS</v>
      </c>
      <c r="E984" s="1" t="str">
        <f>"Nova Scotia"</f>
        <v>Nova Scotia</v>
      </c>
      <c r="F984" s="1" t="str">
        <f>"Sierra"</f>
        <v>Sierra</v>
      </c>
      <c r="G984" s="1" t="str">
        <f>"Tanner"</f>
        <v>Tanner</v>
      </c>
      <c r="H984" s="1" t="str">
        <f>"0141574"</f>
        <v>0141574</v>
      </c>
      <c r="I984" s="1" t="str">
        <f>"F"</f>
        <v>F</v>
      </c>
      <c r="J984" s="2">
        <v>2001</v>
      </c>
      <c r="K984" s="1" t="str">
        <f t="shared" si="143"/>
        <v>1D</v>
      </c>
      <c r="L984" s="1" t="s">
        <v>129</v>
      </c>
      <c r="M984" s="1" t="str">
        <f t="shared" si="142"/>
        <v>-57</v>
      </c>
      <c r="N984" s="1" t="str">
        <f>""</f>
        <v/>
      </c>
      <c r="O984" s="1">
        <v>2</v>
      </c>
      <c r="P984" s="1"/>
      <c r="Q984" t="s">
        <v>310</v>
      </c>
    </row>
    <row r="985" spans="1:17" x14ac:dyDescent="0.25">
      <c r="A985" t="str">
        <f>"2018-10-02 23:27:17"</f>
        <v>2018-10-02 23:27:17</v>
      </c>
      <c r="B985" s="1" t="str">
        <f>""</f>
        <v/>
      </c>
      <c r="C985" s="1" t="str">
        <f>"Club judokas Jonquière inc."</f>
        <v>Club judokas Jonquière inc.</v>
      </c>
      <c r="D985" s="1" t="str">
        <f>"QC"</f>
        <v>QC</v>
      </c>
      <c r="E985" s="1" t="str">
        <f>"Quebec"</f>
        <v>Quebec</v>
      </c>
      <c r="F985" s="1" t="str">
        <f>"Arno"</f>
        <v>Arno</v>
      </c>
      <c r="G985" s="1" t="str">
        <f>"Blackière"</f>
        <v>Blackière</v>
      </c>
      <c r="H985" s="1" t="str">
        <f>"0156762"</f>
        <v>0156762</v>
      </c>
      <c r="I985" s="1" t="str">
        <f t="shared" ref="I985:I997" si="144">"M"</f>
        <v>M</v>
      </c>
      <c r="J985" s="2">
        <v>2001</v>
      </c>
      <c r="K985" s="1" t="str">
        <f t="shared" si="143"/>
        <v>1D</v>
      </c>
      <c r="L985" s="1" t="s">
        <v>129</v>
      </c>
      <c r="M985" s="1" t="str">
        <f t="shared" ref="M985:M997" si="145">"-60"</f>
        <v>-60</v>
      </c>
      <c r="N985" s="1" t="str">
        <f>""</f>
        <v/>
      </c>
      <c r="O985" s="1">
        <v>2</v>
      </c>
      <c r="P985" s="1"/>
      <c r="Q985" t="s">
        <v>312</v>
      </c>
    </row>
    <row r="986" spans="1:17" x14ac:dyDescent="0.25">
      <c r="A986" t="str">
        <f>"2018-10-02 23:27:17"</f>
        <v>2018-10-02 23:27:17</v>
      </c>
      <c r="B986" s="1" t="str">
        <f>""</f>
        <v/>
      </c>
      <c r="C986" s="1" t="str">
        <f>"Kiseki Judo"</f>
        <v>Kiseki Judo</v>
      </c>
      <c r="D986" s="1" t="str">
        <f>"QC"</f>
        <v>QC</v>
      </c>
      <c r="E986" s="1" t="str">
        <f>"Quebec"</f>
        <v>Quebec</v>
      </c>
      <c r="F986" s="1" t="str">
        <f>"Hakim"</f>
        <v>Hakim</v>
      </c>
      <c r="G986" s="1" t="str">
        <f>"Chala"</f>
        <v>Chala</v>
      </c>
      <c r="H986" s="1" t="str">
        <f>"0182393"</f>
        <v>0182393</v>
      </c>
      <c r="I986" s="1" t="str">
        <f t="shared" si="144"/>
        <v>M</v>
      </c>
      <c r="J986" s="2">
        <v>1999</v>
      </c>
      <c r="K986" s="1" t="str">
        <f t="shared" si="143"/>
        <v>1D</v>
      </c>
      <c r="L986" s="1" t="s">
        <v>129</v>
      </c>
      <c r="M986" s="1" t="str">
        <f t="shared" si="145"/>
        <v>-60</v>
      </c>
      <c r="N986" s="1" t="str">
        <f>""</f>
        <v/>
      </c>
      <c r="O986" s="1">
        <v>2</v>
      </c>
      <c r="P986" s="1"/>
      <c r="Q986" t="s">
        <v>312</v>
      </c>
    </row>
    <row r="987" spans="1:17" x14ac:dyDescent="0.25">
      <c r="A987" t="str">
        <f>"2018-10-17 19:24:07"</f>
        <v>2018-10-17 19:24:07</v>
      </c>
      <c r="B987" s="1" t="str">
        <f>""</f>
        <v/>
      </c>
      <c r="C987" s="1" t="str">
        <f>"Lethbridge Kyodokan Judo Club"</f>
        <v>Lethbridge Kyodokan Judo Club</v>
      </c>
      <c r="D987" s="1" t="str">
        <f>"AB"</f>
        <v>AB</v>
      </c>
      <c r="E987" s="1" t="str">
        <f>"Alberta"</f>
        <v>Alberta</v>
      </c>
      <c r="F987" s="1" t="str">
        <f>"Joel"</f>
        <v>Joel</v>
      </c>
      <c r="G987" s="1" t="str">
        <f>"Demaere"</f>
        <v>Demaere</v>
      </c>
      <c r="H987" s="1" t="str">
        <f>"1772774"</f>
        <v>1772774</v>
      </c>
      <c r="I987" s="1" t="str">
        <f t="shared" si="144"/>
        <v>M</v>
      </c>
      <c r="J987" s="2">
        <v>2001</v>
      </c>
      <c r="K987" s="1" t="str">
        <f t="shared" si="143"/>
        <v>1D</v>
      </c>
      <c r="L987" s="1" t="s">
        <v>129</v>
      </c>
      <c r="M987" s="1" t="str">
        <f t="shared" si="145"/>
        <v>-60</v>
      </c>
      <c r="N987" s="1" t="str">
        <f>"u60"</f>
        <v>u60</v>
      </c>
      <c r="O987" s="1">
        <v>2</v>
      </c>
      <c r="P987" s="1"/>
      <c r="Q987" t="s">
        <v>312</v>
      </c>
    </row>
    <row r="988" spans="1:17" x14ac:dyDescent="0.25">
      <c r="A988" t="str">
        <f>"2018-10-21 21:06:11"</f>
        <v>2018-10-21 21:06:11</v>
      </c>
      <c r="B988" s="1" t="str">
        <f>""</f>
        <v/>
      </c>
      <c r="C988" s="1" t="str">
        <f>"Campbell River Judo Club"</f>
        <v>Campbell River Judo Club</v>
      </c>
      <c r="D988" s="1" t="str">
        <f>"BC"</f>
        <v>BC</v>
      </c>
      <c r="E988" s="1" t="str">
        <f>"British Columbia"</f>
        <v>British Columbia</v>
      </c>
      <c r="F988" s="1" t="str">
        <f>"Anthony"</f>
        <v>Anthony</v>
      </c>
      <c r="G988" s="1" t="str">
        <f>"Henry"</f>
        <v>Henry</v>
      </c>
      <c r="H988" s="1" t="str">
        <f>"0153631"</f>
        <v>0153631</v>
      </c>
      <c r="I988" s="1" t="str">
        <f t="shared" si="144"/>
        <v>M</v>
      </c>
      <c r="J988" s="2">
        <v>2001</v>
      </c>
      <c r="K988" s="1" t="str">
        <f>"1k"</f>
        <v>1k</v>
      </c>
      <c r="L988" s="1" t="s">
        <v>129</v>
      </c>
      <c r="M988" s="1" t="str">
        <f t="shared" si="145"/>
        <v>-60</v>
      </c>
      <c r="N988" s="1" t="str">
        <f>""</f>
        <v/>
      </c>
      <c r="O988" s="1">
        <v>2</v>
      </c>
      <c r="P988" s="1"/>
      <c r="Q988" t="s">
        <v>312</v>
      </c>
    </row>
    <row r="989" spans="1:17" x14ac:dyDescent="0.25">
      <c r="A989" t="str">
        <f>"2018-10-02 23:27:17"</f>
        <v>2018-10-02 23:27:17</v>
      </c>
      <c r="B989" s="1" t="str">
        <f>""</f>
        <v/>
      </c>
      <c r="C989" s="1" t="str">
        <f>"Pense Judo Club"</f>
        <v>Pense Judo Club</v>
      </c>
      <c r="D989" s="1" t="str">
        <f>"SK"</f>
        <v>SK</v>
      </c>
      <c r="E989" s="1" t="str">
        <f>"Saskatchewan"</f>
        <v>Saskatchewan</v>
      </c>
      <c r="F989" s="1" t="str">
        <f>"Kyle"</f>
        <v>Kyle</v>
      </c>
      <c r="G989" s="1" t="str">
        <f>"McKay"</f>
        <v>McKay</v>
      </c>
      <c r="H989" s="1" t="str">
        <f>"0187196"</f>
        <v>0187196</v>
      </c>
      <c r="I989" s="1" t="str">
        <f t="shared" si="144"/>
        <v>M</v>
      </c>
      <c r="J989" s="2">
        <v>2001</v>
      </c>
      <c r="K989" s="1" t="str">
        <f>"1k"</f>
        <v>1k</v>
      </c>
      <c r="L989" s="1" t="s">
        <v>129</v>
      </c>
      <c r="M989" s="1" t="str">
        <f t="shared" si="145"/>
        <v>-60</v>
      </c>
      <c r="N989" s="1" t="str">
        <f>""</f>
        <v/>
      </c>
      <c r="O989" s="1">
        <v>2</v>
      </c>
      <c r="P989" s="1"/>
      <c r="Q989" t="s">
        <v>312</v>
      </c>
    </row>
    <row r="990" spans="1:17" x14ac:dyDescent="0.25">
      <c r="A990" t="str">
        <f>"2018-10-14 14:07:55"</f>
        <v>2018-10-14 14:07:55</v>
      </c>
      <c r="B990" s="1" t="str">
        <f>""</f>
        <v/>
      </c>
      <c r="C990" s="1" t="str">
        <f>"U Of M Judo Club"</f>
        <v>U Of M Judo Club</v>
      </c>
      <c r="D990" s="1" t="str">
        <f>"MB"</f>
        <v>MB</v>
      </c>
      <c r="E990" s="1" t="str">
        <f>"Manitoba"</f>
        <v>Manitoba</v>
      </c>
      <c r="F990" s="1" t="str">
        <f>"Ariel"</f>
        <v>Ariel</v>
      </c>
      <c r="G990" s="1" t="str">
        <f>"Mesongnik"</f>
        <v>Mesongnik</v>
      </c>
      <c r="H990" s="1" t="str">
        <f>"0174972"</f>
        <v>0174972</v>
      </c>
      <c r="I990" s="1" t="str">
        <f t="shared" si="144"/>
        <v>M</v>
      </c>
      <c r="J990" s="2">
        <v>2001</v>
      </c>
      <c r="K990" s="1" t="str">
        <f>"1k"</f>
        <v>1k</v>
      </c>
      <c r="L990" s="1" t="s">
        <v>129</v>
      </c>
      <c r="M990" s="1" t="str">
        <f t="shared" si="145"/>
        <v>-60</v>
      </c>
      <c r="N990" s="1" t="str">
        <f>""</f>
        <v/>
      </c>
      <c r="O990" s="1">
        <v>2</v>
      </c>
      <c r="P990" s="1"/>
      <c r="Q990" t="s">
        <v>312</v>
      </c>
    </row>
    <row r="991" spans="1:17" x14ac:dyDescent="0.25">
      <c r="A991" t="str">
        <f>"2018-10-02 23:27:17"</f>
        <v>2018-10-02 23:27:17</v>
      </c>
      <c r="B991" s="1" t="str">
        <f>""</f>
        <v/>
      </c>
      <c r="C991" s="1" t="str">
        <f>"USA Judo"</f>
        <v>USA Judo</v>
      </c>
      <c r="D991" s="1" t="s">
        <v>106</v>
      </c>
      <c r="E991" s="1" t="str">
        <f>"United States"</f>
        <v>United States</v>
      </c>
      <c r="F991" s="1" t="str">
        <f>"Jacob"</f>
        <v>Jacob</v>
      </c>
      <c r="G991" s="1" t="str">
        <f>"More"</f>
        <v>More</v>
      </c>
      <c r="H991" s="1" t="str">
        <f>"AutreFederation"</f>
        <v>AutreFederation</v>
      </c>
      <c r="I991" s="1" t="str">
        <f t="shared" si="144"/>
        <v>M</v>
      </c>
      <c r="J991" s="2">
        <v>2001</v>
      </c>
      <c r="K991" s="1" t="str">
        <f>"1D"</f>
        <v>1D</v>
      </c>
      <c r="L991" s="1" t="s">
        <v>129</v>
      </c>
      <c r="M991" s="1" t="str">
        <f t="shared" si="145"/>
        <v>-60</v>
      </c>
      <c r="N991" s="1" t="str">
        <f>""</f>
        <v/>
      </c>
      <c r="O991" s="1">
        <v>2</v>
      </c>
      <c r="P991" s="1"/>
      <c r="Q991" t="s">
        <v>312</v>
      </c>
    </row>
    <row r="992" spans="1:17" x14ac:dyDescent="0.25">
      <c r="A992" t="str">
        <f>"2018-10-02 23:27:17"</f>
        <v>2018-10-02 23:27:17</v>
      </c>
      <c r="B992" s="1" t="str">
        <f>""</f>
        <v/>
      </c>
      <c r="C992" s="1" t="str">
        <f>"Club de judo Shidokan inc."</f>
        <v>Club de judo Shidokan inc.</v>
      </c>
      <c r="D992" s="1" t="str">
        <f>"QC"</f>
        <v>QC</v>
      </c>
      <c r="E992" s="1" t="str">
        <f>"Quebec"</f>
        <v>Quebec</v>
      </c>
      <c r="F992" s="1" t="str">
        <f>"Adam"</f>
        <v>Adam</v>
      </c>
      <c r="G992" s="1" t="str">
        <f>"Nuara"</f>
        <v>Nuara</v>
      </c>
      <c r="H992" s="1" t="str">
        <f>"0152845"</f>
        <v>0152845</v>
      </c>
      <c r="I992" s="1" t="str">
        <f t="shared" si="144"/>
        <v>M</v>
      </c>
      <c r="J992" s="2">
        <v>2001</v>
      </c>
      <c r="K992" s="1" t="str">
        <f>"1D"</f>
        <v>1D</v>
      </c>
      <c r="L992" s="1" t="s">
        <v>129</v>
      </c>
      <c r="M992" s="1" t="str">
        <f t="shared" si="145"/>
        <v>-60</v>
      </c>
      <c r="N992" s="1" t="str">
        <f>"-60"</f>
        <v>-60</v>
      </c>
      <c r="O992" s="1">
        <v>2</v>
      </c>
      <c r="P992" s="1"/>
      <c r="Q992" t="s">
        <v>312</v>
      </c>
    </row>
    <row r="993" spans="1:17" x14ac:dyDescent="0.25">
      <c r="A993" t="str">
        <f>"2018-10-04 09:56:59"</f>
        <v>2018-10-04 09:56:59</v>
      </c>
      <c r="B993" s="1" t="str">
        <f>""</f>
        <v/>
      </c>
      <c r="C993" s="1" t="str">
        <f>"Judo Blainville"</f>
        <v>Judo Blainville</v>
      </c>
      <c r="D993" s="1" t="str">
        <f>"QC"</f>
        <v>QC</v>
      </c>
      <c r="E993" s="1" t="str">
        <f>"Quebec"</f>
        <v>Quebec</v>
      </c>
      <c r="F993" s="1" t="str">
        <f>"Nathan"</f>
        <v>Nathan</v>
      </c>
      <c r="G993" s="1" t="str">
        <f>"Sauriol"</f>
        <v>Sauriol</v>
      </c>
      <c r="H993" s="1" t="str">
        <f>"0173782"</f>
        <v>0173782</v>
      </c>
      <c r="I993" s="1" t="str">
        <f t="shared" si="144"/>
        <v>M</v>
      </c>
      <c r="J993" s="2">
        <v>2001</v>
      </c>
      <c r="K993" s="1" t="str">
        <f>"1k"</f>
        <v>1k</v>
      </c>
      <c r="L993" s="1" t="s">
        <v>129</v>
      </c>
      <c r="M993" s="1" t="str">
        <f t="shared" si="145"/>
        <v>-60</v>
      </c>
      <c r="N993" s="1" t="str">
        <f>""</f>
        <v/>
      </c>
      <c r="O993" s="1">
        <v>2</v>
      </c>
      <c r="P993" s="1"/>
      <c r="Q993" t="s">
        <v>312</v>
      </c>
    </row>
    <row r="994" spans="1:17" x14ac:dyDescent="0.25">
      <c r="A994" t="str">
        <f>"2018-10-21 21:20:40"</f>
        <v>2018-10-21 21:20:40</v>
      </c>
      <c r="B994" s="1" t="str">
        <f>""</f>
        <v/>
      </c>
      <c r="C994" s="1" t="str">
        <f>"Hayabusakan"</f>
        <v>Hayabusakan</v>
      </c>
      <c r="D994" s="1" t="str">
        <f>"ON"</f>
        <v>ON</v>
      </c>
      <c r="E994" s="1" t="str">
        <f>"Ontario"</f>
        <v>Ontario</v>
      </c>
      <c r="F994" s="1" t="str">
        <f>"David"</f>
        <v>David</v>
      </c>
      <c r="G994" s="1" t="str">
        <f>"Teper"</f>
        <v>Teper</v>
      </c>
      <c r="H994" s="1" t="str">
        <f>"0158766"</f>
        <v>0158766</v>
      </c>
      <c r="I994" s="1" t="str">
        <f t="shared" si="144"/>
        <v>M</v>
      </c>
      <c r="J994" s="2">
        <v>2001</v>
      </c>
      <c r="K994" s="1" t="str">
        <f>"1D"</f>
        <v>1D</v>
      </c>
      <c r="L994" s="1" t="s">
        <v>129</v>
      </c>
      <c r="M994" s="1" t="str">
        <f t="shared" si="145"/>
        <v>-60</v>
      </c>
      <c r="N994" s="1" t="str">
        <f>""</f>
        <v/>
      </c>
      <c r="O994" s="1">
        <v>2</v>
      </c>
      <c r="P994" s="1"/>
      <c r="Q994" t="s">
        <v>312</v>
      </c>
    </row>
    <row r="995" spans="1:17" x14ac:dyDescent="0.25">
      <c r="A995" t="str">
        <f>"2018-10-02 23:27:17"</f>
        <v>2018-10-02 23:27:17</v>
      </c>
      <c r="B995" s="1" t="str">
        <f>""</f>
        <v/>
      </c>
      <c r="C995" s="1" t="str">
        <f>"Club de judo Seïkidokan inc."</f>
        <v>Club de judo Seïkidokan inc.</v>
      </c>
      <c r="D995" s="1" t="str">
        <f>"QC"</f>
        <v>QC</v>
      </c>
      <c r="E995" s="1" t="str">
        <f>"Quebec"</f>
        <v>Quebec</v>
      </c>
      <c r="F995" s="1" t="str">
        <f>"Justin"</f>
        <v>Justin</v>
      </c>
      <c r="G995" s="1" t="str">
        <f>"Tremblay"</f>
        <v>Tremblay</v>
      </c>
      <c r="H995" s="1" t="str">
        <f>"0167519"</f>
        <v>0167519</v>
      </c>
      <c r="I995" s="1" t="str">
        <f t="shared" si="144"/>
        <v>M</v>
      </c>
      <c r="J995" s="2">
        <v>2001</v>
      </c>
      <c r="K995" s="1" t="str">
        <f>"1D"</f>
        <v>1D</v>
      </c>
      <c r="L995" s="1" t="str">
        <f>"U21"</f>
        <v>U21</v>
      </c>
      <c r="M995" s="1" t="str">
        <f t="shared" si="145"/>
        <v>-60</v>
      </c>
      <c r="N995" s="1" t="str">
        <f>""</f>
        <v/>
      </c>
      <c r="O995" s="1">
        <v>1</v>
      </c>
      <c r="P995" s="1"/>
      <c r="Q995" t="s">
        <v>312</v>
      </c>
    </row>
    <row r="996" spans="1:17" x14ac:dyDescent="0.25">
      <c r="A996" t="str">
        <f>"2018-10-14 14:07:55"</f>
        <v>2018-10-14 14:07:55</v>
      </c>
      <c r="B996" s="1" t="str">
        <f>""</f>
        <v/>
      </c>
      <c r="C996" s="1" t="str">
        <f>"AJAX Budokan"</f>
        <v>AJAX Budokan</v>
      </c>
      <c r="D996" s="1" t="str">
        <f>"ON"</f>
        <v>ON</v>
      </c>
      <c r="E996" s="1" t="str">
        <f>"Ontario"</f>
        <v>Ontario</v>
      </c>
      <c r="F996" s="1" t="str">
        <f>"Keyano"</f>
        <v>Keyano</v>
      </c>
      <c r="G996" s="1" t="str">
        <f>"Young"</f>
        <v>Young</v>
      </c>
      <c r="H996" s="1" t="str">
        <f>"0201818"</f>
        <v>0201818</v>
      </c>
      <c r="I996" s="1" t="str">
        <f t="shared" si="144"/>
        <v>M</v>
      </c>
      <c r="J996" s="2">
        <v>1999</v>
      </c>
      <c r="K996" s="1" t="s">
        <v>158</v>
      </c>
      <c r="L996" s="1" t="s">
        <v>129</v>
      </c>
      <c r="M996" s="1" t="str">
        <f t="shared" si="145"/>
        <v>-60</v>
      </c>
      <c r="N996" s="1" t="str">
        <f>""</f>
        <v/>
      </c>
      <c r="O996" s="1">
        <v>2</v>
      </c>
      <c r="P996" s="1"/>
      <c r="Q996" t="s">
        <v>312</v>
      </c>
    </row>
    <row r="997" spans="1:17" x14ac:dyDescent="0.25">
      <c r="A997" t="str">
        <f>"2018-09-24 13:34:43"</f>
        <v>2018-09-24 13:34:43</v>
      </c>
      <c r="B997" s="1" t="str">
        <f>""</f>
        <v/>
      </c>
      <c r="C997" s="1" t="str">
        <f>"Hart Judo Academy"</f>
        <v>Hart Judo Academy</v>
      </c>
      <c r="D997" s="1" t="str">
        <f>"BC"</f>
        <v>BC</v>
      </c>
      <c r="E997" s="1" t="str">
        <f>"British Columbia"</f>
        <v>British Columbia</v>
      </c>
      <c r="F997" s="1" t="str">
        <f>"Maxwell"</f>
        <v>Maxwell</v>
      </c>
      <c r="G997" s="1" t="str">
        <f>"Young"</f>
        <v>Young</v>
      </c>
      <c r="H997" s="1" t="str">
        <f>"0172164"</f>
        <v>0172164</v>
      </c>
      <c r="I997" s="1" t="str">
        <f t="shared" si="144"/>
        <v>M</v>
      </c>
      <c r="J997" s="2">
        <v>2001</v>
      </c>
      <c r="K997" s="1" t="str">
        <f>"1D"</f>
        <v>1D</v>
      </c>
      <c r="L997" s="1" t="s">
        <v>129</v>
      </c>
      <c r="M997" s="1" t="str">
        <f t="shared" si="145"/>
        <v>-60</v>
      </c>
      <c r="N997" s="1" t="str">
        <f>""</f>
        <v/>
      </c>
      <c r="O997" s="1">
        <v>2</v>
      </c>
      <c r="P997" s="1"/>
      <c r="Q997" t="s">
        <v>312</v>
      </c>
    </row>
    <row r="998" spans="1:17" x14ac:dyDescent="0.25">
      <c r="A998" t="str">
        <f>"2018-10-22 13:22:58"</f>
        <v>2018-10-22 13:22:58</v>
      </c>
      <c r="B998" s="1" t="str">
        <f>""</f>
        <v/>
      </c>
      <c r="C998" s="1" t="str">
        <f>"Judo Ju Shin Kan Laterrière"</f>
        <v>Judo Ju Shin Kan Laterrière</v>
      </c>
      <c r="D998" s="1" t="str">
        <f>"QC"</f>
        <v>QC</v>
      </c>
      <c r="E998" s="1" t="str">
        <f>"Quebec"</f>
        <v>Quebec</v>
      </c>
      <c r="F998" s="1" t="str">
        <f>"Roxanne"</f>
        <v>Roxanne</v>
      </c>
      <c r="G998" s="1" t="str">
        <f>"Emond"</f>
        <v>Emond</v>
      </c>
      <c r="H998" s="1" t="str">
        <f>"0171439"</f>
        <v>0171439</v>
      </c>
      <c r="I998" s="1" t="str">
        <f t="shared" ref="I998:I1004" si="146">"F"</f>
        <v>F</v>
      </c>
      <c r="J998" s="2">
        <v>2000</v>
      </c>
      <c r="K998" s="1" t="str">
        <f>"1D"</f>
        <v>1D</v>
      </c>
      <c r="L998" s="1" t="s">
        <v>129</v>
      </c>
      <c r="M998" s="1" t="str">
        <f t="shared" ref="M998:M1004" si="147">"-63"</f>
        <v>-63</v>
      </c>
      <c r="N998" s="1" t="str">
        <f>""</f>
        <v/>
      </c>
      <c r="O998" s="1">
        <v>2</v>
      </c>
      <c r="P998" s="1"/>
      <c r="Q998" t="s">
        <v>313</v>
      </c>
    </row>
    <row r="999" spans="1:17" x14ac:dyDescent="0.25">
      <c r="A999" t="str">
        <f>"2018-10-06 13:32:11"</f>
        <v>2018-10-06 13:32:11</v>
      </c>
      <c r="B999" s="1" t="str">
        <f>""</f>
        <v/>
      </c>
      <c r="C999" s="1" t="str">
        <f>"Nanaimo Judo Club"</f>
        <v>Nanaimo Judo Club</v>
      </c>
      <c r="D999" s="1" t="str">
        <f>"BC"</f>
        <v>BC</v>
      </c>
      <c r="E999" s="1" t="str">
        <f>"British Columbia"</f>
        <v>British Columbia</v>
      </c>
      <c r="F999" s="1" t="str">
        <f>"Alicia"</f>
        <v>Alicia</v>
      </c>
      <c r="G999" s="1" t="str">
        <f>"Fiandor"</f>
        <v>Fiandor</v>
      </c>
      <c r="H999" s="1" t="str">
        <f>"0153895"</f>
        <v>0153895</v>
      </c>
      <c r="I999" s="1" t="str">
        <f t="shared" si="146"/>
        <v>F</v>
      </c>
      <c r="J999" s="2">
        <v>2000</v>
      </c>
      <c r="K999" s="1" t="str">
        <f>"2D"</f>
        <v>2D</v>
      </c>
      <c r="L999" s="1" t="s">
        <v>129</v>
      </c>
      <c r="M999" s="1" t="str">
        <f t="shared" si="147"/>
        <v>-63</v>
      </c>
      <c r="N999" s="1" t="str">
        <f>""</f>
        <v/>
      </c>
      <c r="O999" s="1">
        <v>2</v>
      </c>
      <c r="P999" s="1"/>
      <c r="Q999" t="s">
        <v>313</v>
      </c>
    </row>
    <row r="1000" spans="1:17" x14ac:dyDescent="0.25">
      <c r="A1000" t="str">
        <f>"2018-10-19 17:48:07"</f>
        <v>2018-10-19 17:48:07</v>
      </c>
      <c r="B1000" s="1" t="str">
        <f>""</f>
        <v/>
      </c>
      <c r="C1000" s="1" t="str">
        <f>"USA Judo"</f>
        <v>USA Judo</v>
      </c>
      <c r="D1000" s="1" t="s">
        <v>106</v>
      </c>
      <c r="E1000" s="1" t="str">
        <f>"Illinois"</f>
        <v>Illinois</v>
      </c>
      <c r="F1000" s="1" t="str">
        <f>"Sara"</f>
        <v>Sara</v>
      </c>
      <c r="G1000" s="1" t="str">
        <f>"Golden"</f>
        <v>Golden</v>
      </c>
      <c r="H1000" s="1" t="str">
        <f>"AutreFederation"</f>
        <v>AutreFederation</v>
      </c>
      <c r="I1000" s="1" t="str">
        <f t="shared" si="146"/>
        <v>F</v>
      </c>
      <c r="J1000" s="2">
        <v>2001</v>
      </c>
      <c r="K1000" s="1" t="str">
        <f>"1D"</f>
        <v>1D</v>
      </c>
      <c r="L1000" s="1" t="s">
        <v>129</v>
      </c>
      <c r="M1000" s="1" t="str">
        <f t="shared" si="147"/>
        <v>-63</v>
      </c>
      <c r="N1000" s="1" t="str">
        <f>""</f>
        <v/>
      </c>
      <c r="O1000" s="1">
        <v>2</v>
      </c>
      <c r="P1000" s="1"/>
      <c r="Q1000" t="s">
        <v>313</v>
      </c>
    </row>
    <row r="1001" spans="1:17" x14ac:dyDescent="0.25">
      <c r="A1001" t="str">
        <f>"2018-10-13 17:28:27"</f>
        <v>2018-10-13 17:28:27</v>
      </c>
      <c r="B1001" s="1" t="str">
        <f>""</f>
        <v/>
      </c>
      <c r="C1001" s="1" t="str">
        <f>"Abbotsford Judo Club"</f>
        <v>Abbotsford Judo Club</v>
      </c>
      <c r="D1001" s="1" t="str">
        <f>"BC"</f>
        <v>BC</v>
      </c>
      <c r="E1001" s="1" t="str">
        <f>"British Columbia"</f>
        <v>British Columbia</v>
      </c>
      <c r="F1001" s="1" t="str">
        <f>"Isabelle"</f>
        <v>Isabelle</v>
      </c>
      <c r="G1001" s="1" t="str">
        <f>"Harris"</f>
        <v>Harris</v>
      </c>
      <c r="H1001" s="1" t="str">
        <f>"0191153"</f>
        <v>0191153</v>
      </c>
      <c r="I1001" s="1" t="str">
        <f t="shared" si="146"/>
        <v>F</v>
      </c>
      <c r="J1001" s="2">
        <v>2001</v>
      </c>
      <c r="K1001" s="1" t="str">
        <f>"1D"</f>
        <v>1D</v>
      </c>
      <c r="L1001" s="1" t="s">
        <v>129</v>
      </c>
      <c r="M1001" s="1" t="str">
        <f t="shared" si="147"/>
        <v>-63</v>
      </c>
      <c r="N1001" s="1" t="str">
        <f>""</f>
        <v/>
      </c>
      <c r="O1001" s="1">
        <v>2</v>
      </c>
      <c r="P1001" s="1"/>
      <c r="Q1001" t="s">
        <v>313</v>
      </c>
    </row>
    <row r="1002" spans="1:17" x14ac:dyDescent="0.25">
      <c r="A1002" t="str">
        <f>"2018-10-17 23:18:32"</f>
        <v>2018-10-17 23:18:32</v>
      </c>
      <c r="B1002" s="1" t="str">
        <f>"2018-10-25 12:39:23"</f>
        <v>2018-10-25 12:39:23</v>
      </c>
      <c r="C1002" s="1" t="s">
        <v>240</v>
      </c>
      <c r="D1002" s="1" t="str">
        <f>"QC"</f>
        <v>QC</v>
      </c>
      <c r="E1002" s="1" t="str">
        <f>"Quebec"</f>
        <v>Quebec</v>
      </c>
      <c r="F1002" s="1" t="str">
        <f>"Ilhem"</f>
        <v>Ilhem</v>
      </c>
      <c r="G1002" s="1" t="str">
        <f>"Ouali"</f>
        <v>Ouali</v>
      </c>
      <c r="H1002" s="1" t="str">
        <f>"0145627"</f>
        <v>0145627</v>
      </c>
      <c r="I1002" s="1" t="str">
        <f t="shared" si="146"/>
        <v>F</v>
      </c>
      <c r="J1002" s="2">
        <v>2001</v>
      </c>
      <c r="K1002" s="1" t="str">
        <f>"1D"</f>
        <v>1D</v>
      </c>
      <c r="L1002" s="1" t="s">
        <v>129</v>
      </c>
      <c r="M1002" s="1" t="str">
        <f t="shared" si="147"/>
        <v>-63</v>
      </c>
      <c r="N1002" s="1" t="str">
        <f>""</f>
        <v/>
      </c>
      <c r="O1002" s="1">
        <v>2</v>
      </c>
      <c r="P1002" s="1"/>
      <c r="Q1002" t="s">
        <v>313</v>
      </c>
    </row>
    <row r="1003" spans="1:17" x14ac:dyDescent="0.25">
      <c r="A1003" t="str">
        <f>"2018-10-22 20:34:31"</f>
        <v>2018-10-22 20:34:31</v>
      </c>
      <c r="B1003" s="1" t="str">
        <f>""</f>
        <v/>
      </c>
      <c r="C1003" s="1" t="str">
        <f>"Tech Judo"</f>
        <v>Tech Judo</v>
      </c>
      <c r="D1003" s="1" t="s">
        <v>106</v>
      </c>
      <c r="E1003" s="1" t="str">
        <f>"New York"</f>
        <v>New York</v>
      </c>
      <c r="F1003" s="1" t="str">
        <f>"Samantha"</f>
        <v>Samantha</v>
      </c>
      <c r="G1003" s="1" t="str">
        <f>"Paduani"</f>
        <v>Paduani</v>
      </c>
      <c r="H1003" s="1" t="str">
        <f>"0077546"</f>
        <v>0077546</v>
      </c>
      <c r="I1003" s="1" t="str">
        <f t="shared" si="146"/>
        <v>F</v>
      </c>
      <c r="J1003" s="2">
        <v>1999</v>
      </c>
      <c r="K1003" s="1" t="str">
        <f>"1D"</f>
        <v>1D</v>
      </c>
      <c r="L1003" s="1" t="str">
        <f>"U21"</f>
        <v>U21</v>
      </c>
      <c r="M1003" s="1" t="str">
        <f t="shared" si="147"/>
        <v>-63</v>
      </c>
      <c r="N1003" s="1" t="str">
        <f>""</f>
        <v/>
      </c>
      <c r="O1003" s="1">
        <v>1</v>
      </c>
      <c r="P1003" s="1"/>
      <c r="Q1003" t="s">
        <v>313</v>
      </c>
    </row>
    <row r="1004" spans="1:17" x14ac:dyDescent="0.25">
      <c r="A1004" t="str">
        <f>"2018-10-21 19:16:08"</f>
        <v>2018-10-21 19:16:08</v>
      </c>
      <c r="B1004" s="1" t="str">
        <f>"2018-10-25 14:39:59"</f>
        <v>2018-10-25 14:39:59</v>
      </c>
      <c r="C1004" s="1" t="str">
        <f>"Nakamura Judo Club"</f>
        <v>Nakamura Judo Club</v>
      </c>
      <c r="D1004" s="1" t="str">
        <f>"MB"</f>
        <v>MB</v>
      </c>
      <c r="E1004" s="1" t="str">
        <f>"Manitoba"</f>
        <v>Manitoba</v>
      </c>
      <c r="F1004" s="1" t="str">
        <f>"Sasha"</f>
        <v>Sasha</v>
      </c>
      <c r="G1004" s="1" t="str">
        <f>"Zigic"</f>
        <v>Zigic</v>
      </c>
      <c r="H1004" s="1" t="str">
        <f>"0213404"</f>
        <v>0213404</v>
      </c>
      <c r="I1004" s="1" t="str">
        <f t="shared" si="146"/>
        <v>F</v>
      </c>
      <c r="J1004" s="2">
        <v>2000</v>
      </c>
      <c r="K1004" s="1" t="str">
        <f>"1k"</f>
        <v>1k</v>
      </c>
      <c r="L1004" s="1" t="s">
        <v>129</v>
      </c>
      <c r="M1004" s="1" t="str">
        <f t="shared" si="147"/>
        <v>-63</v>
      </c>
      <c r="N1004" s="1" t="str">
        <f>""</f>
        <v/>
      </c>
      <c r="O1004" s="1">
        <v>2</v>
      </c>
      <c r="P1004" s="1"/>
      <c r="Q1004" t="s">
        <v>313</v>
      </c>
    </row>
    <row r="1005" spans="1:17" x14ac:dyDescent="0.25">
      <c r="A1005" t="str">
        <f t="shared" ref="A1005:A1015" si="148">"2018-10-02 23:27:17"</f>
        <v>2018-10-02 23:27:17</v>
      </c>
      <c r="B1005" s="1" t="str">
        <f>""</f>
        <v/>
      </c>
      <c r="C1005" s="1" t="str">
        <f>"Burnaby Judo Club"</f>
        <v>Burnaby Judo Club</v>
      </c>
      <c r="D1005" s="1" t="str">
        <f>"BC"</f>
        <v>BC</v>
      </c>
      <c r="E1005" s="1" t="str">
        <f>"British Columbia"</f>
        <v>British Columbia</v>
      </c>
      <c r="F1005" s="1" t="str">
        <f>"Amirhossein"</f>
        <v>Amirhossein</v>
      </c>
      <c r="G1005" s="1" t="str">
        <f>"Barati"</f>
        <v>Barati</v>
      </c>
      <c r="H1005" s="1" t="str">
        <f>"0407866"</f>
        <v>0407866</v>
      </c>
      <c r="I1005" s="1" t="str">
        <f t="shared" ref="I1005:I1022" si="149">"M"</f>
        <v>M</v>
      </c>
      <c r="J1005" s="2">
        <v>2001</v>
      </c>
      <c r="K1005" s="1" t="str">
        <f>"1D"</f>
        <v>1D</v>
      </c>
      <c r="L1005" s="1" t="s">
        <v>129</v>
      </c>
      <c r="M1005" s="1" t="str">
        <f t="shared" ref="M1005:M1022" si="150">"-66"</f>
        <v>-66</v>
      </c>
      <c r="N1005" s="1" t="str">
        <f>""</f>
        <v/>
      </c>
      <c r="O1005" s="1">
        <v>2</v>
      </c>
      <c r="P1005" s="1"/>
      <c r="Q1005" t="s">
        <v>314</v>
      </c>
    </row>
    <row r="1006" spans="1:17" x14ac:dyDescent="0.25">
      <c r="A1006" t="str">
        <f t="shared" si="148"/>
        <v>2018-10-02 23:27:17</v>
      </c>
      <c r="B1006" s="1" t="str">
        <f>""</f>
        <v/>
      </c>
      <c r="C1006" s="1" t="str">
        <f>"tech judo"</f>
        <v>tech judo</v>
      </c>
      <c r="D1006" s="1" t="s">
        <v>106</v>
      </c>
      <c r="E1006" s="1" t="str">
        <f>"United States"</f>
        <v>United States</v>
      </c>
      <c r="F1006" s="1" t="str">
        <f>"Gabriel"</f>
        <v>Gabriel</v>
      </c>
      <c r="G1006" s="1" t="str">
        <f>"Bernal"</f>
        <v>Bernal</v>
      </c>
      <c r="H1006" s="1" t="str">
        <f>"AutreFederation"</f>
        <v>AutreFederation</v>
      </c>
      <c r="I1006" s="1" t="str">
        <f t="shared" si="149"/>
        <v>M</v>
      </c>
      <c r="J1006" s="2">
        <v>2001</v>
      </c>
      <c r="K1006" s="1" t="str">
        <f>"1D"</f>
        <v>1D</v>
      </c>
      <c r="L1006" s="1" t="str">
        <f>"U21"</f>
        <v>U21</v>
      </c>
      <c r="M1006" s="1" t="str">
        <f t="shared" si="150"/>
        <v>-66</v>
      </c>
      <c r="N1006" s="1" t="str">
        <f>""</f>
        <v/>
      </c>
      <c r="O1006" s="1">
        <v>1</v>
      </c>
      <c r="P1006" s="1"/>
      <c r="Q1006" t="s">
        <v>314</v>
      </c>
    </row>
    <row r="1007" spans="1:17" x14ac:dyDescent="0.25">
      <c r="A1007" t="str">
        <f t="shared" si="148"/>
        <v>2018-10-02 23:27:17</v>
      </c>
      <c r="B1007" s="1" t="str">
        <f>""</f>
        <v/>
      </c>
      <c r="C1007" s="1" t="str">
        <f>"Action and Reaction MMA"</f>
        <v>Action and Reaction MMA</v>
      </c>
      <c r="D1007" s="1" t="str">
        <f>"ON"</f>
        <v>ON</v>
      </c>
      <c r="E1007" s="1" t="str">
        <f>"Ontario"</f>
        <v>Ontario</v>
      </c>
      <c r="F1007" s="1" t="str">
        <f>"Dontae"</f>
        <v>Dontae</v>
      </c>
      <c r="G1007" s="1" t="str">
        <f>"De Jesus"</f>
        <v>De Jesus</v>
      </c>
      <c r="H1007" s="1" t="str">
        <f>"0139910"</f>
        <v>0139910</v>
      </c>
      <c r="I1007" s="1" t="str">
        <f t="shared" si="149"/>
        <v>M</v>
      </c>
      <c r="J1007" s="2">
        <v>2000</v>
      </c>
      <c r="K1007" s="1" t="str">
        <f>"1k"</f>
        <v>1k</v>
      </c>
      <c r="L1007" s="1" t="s">
        <v>129</v>
      </c>
      <c r="M1007" s="1" t="str">
        <f t="shared" si="150"/>
        <v>-66</v>
      </c>
      <c r="N1007" s="1" t="str">
        <f>""</f>
        <v/>
      </c>
      <c r="O1007" s="1">
        <v>2</v>
      </c>
      <c r="P1007" s="1"/>
      <c r="Q1007" t="s">
        <v>314</v>
      </c>
    </row>
    <row r="1008" spans="1:17" x14ac:dyDescent="0.25">
      <c r="A1008" t="str">
        <f t="shared" si="148"/>
        <v>2018-10-02 23:27:17</v>
      </c>
      <c r="B1008" s="1" t="str">
        <f>""</f>
        <v/>
      </c>
      <c r="C1008" s="1" t="str">
        <f>"Club de judo Seïkidokan inc."</f>
        <v>Club de judo Seïkidokan inc.</v>
      </c>
      <c r="D1008" s="1" t="str">
        <f>"QC"</f>
        <v>QC</v>
      </c>
      <c r="E1008" s="1" t="str">
        <f>"Quebec"</f>
        <v>Quebec</v>
      </c>
      <c r="F1008" s="1" t="str">
        <f>"Vincent"</f>
        <v>Vincent</v>
      </c>
      <c r="G1008" s="1" t="str">
        <f>"Desrochers"</f>
        <v>Desrochers</v>
      </c>
      <c r="H1008" s="1" t="str">
        <f>"0152180"</f>
        <v>0152180</v>
      </c>
      <c r="I1008" s="1" t="str">
        <f t="shared" si="149"/>
        <v>M</v>
      </c>
      <c r="J1008" s="2">
        <v>2000</v>
      </c>
      <c r="K1008" s="1" t="str">
        <f>"1k"</f>
        <v>1k</v>
      </c>
      <c r="L1008" s="1" t="str">
        <f>"U21"</f>
        <v>U21</v>
      </c>
      <c r="M1008" s="1" t="str">
        <f t="shared" si="150"/>
        <v>-66</v>
      </c>
      <c r="N1008" s="1" t="str">
        <f>""</f>
        <v/>
      </c>
      <c r="O1008" s="1">
        <v>1</v>
      </c>
      <c r="P1008" s="1"/>
      <c r="Q1008" t="s">
        <v>314</v>
      </c>
    </row>
    <row r="1009" spans="1:17" x14ac:dyDescent="0.25">
      <c r="A1009" t="str">
        <f t="shared" si="148"/>
        <v>2018-10-02 23:27:17</v>
      </c>
      <c r="B1009" s="1" t="str">
        <f>""</f>
        <v/>
      </c>
      <c r="C1009" s="1" t="str">
        <f>"Fredericton Judo Club"</f>
        <v>Fredericton Judo Club</v>
      </c>
      <c r="D1009" s="1" t="str">
        <f>"NB"</f>
        <v>NB</v>
      </c>
      <c r="E1009" s="1" t="str">
        <f>"New Brunswick"</f>
        <v>New Brunswick</v>
      </c>
      <c r="F1009" s="1" t="str">
        <f>"Eric"</f>
        <v>Eric</v>
      </c>
      <c r="G1009" s="1" t="str">
        <f>"Duivenvoorden"</f>
        <v>Duivenvoorden</v>
      </c>
      <c r="H1009" s="1" t="str">
        <f>"0176913"</f>
        <v>0176913</v>
      </c>
      <c r="I1009" s="1" t="str">
        <f t="shared" si="149"/>
        <v>M</v>
      </c>
      <c r="J1009" s="2">
        <v>2001</v>
      </c>
      <c r="K1009" s="1" t="str">
        <f>"1k"</f>
        <v>1k</v>
      </c>
      <c r="L1009" s="1" t="str">
        <f>"U21"</f>
        <v>U21</v>
      </c>
      <c r="M1009" s="1" t="str">
        <f t="shared" si="150"/>
        <v>-66</v>
      </c>
      <c r="N1009" s="1" t="str">
        <f>""</f>
        <v/>
      </c>
      <c r="O1009" s="1">
        <v>1</v>
      </c>
      <c r="P1009" s="1"/>
      <c r="Q1009" t="s">
        <v>314</v>
      </c>
    </row>
    <row r="1010" spans="1:17" x14ac:dyDescent="0.25">
      <c r="A1010" t="str">
        <f t="shared" si="148"/>
        <v>2018-10-02 23:27:17</v>
      </c>
      <c r="B1010" s="1" t="str">
        <f>""</f>
        <v/>
      </c>
      <c r="C1010" s="1" t="str">
        <f>"Centre Budo Kwai Quebec Inc"</f>
        <v>Centre Budo Kwai Quebec Inc</v>
      </c>
      <c r="D1010" s="1" t="str">
        <f>"QC"</f>
        <v>QC</v>
      </c>
      <c r="E1010" s="1" t="str">
        <f>"Quebec"</f>
        <v>Quebec</v>
      </c>
      <c r="F1010" s="1" t="str">
        <f>"Julien"</f>
        <v>Julien</v>
      </c>
      <c r="G1010" s="1" t="str">
        <f>"Frascadore"</f>
        <v>Frascadore</v>
      </c>
      <c r="H1010" s="1" t="str">
        <f>"0103061"</f>
        <v>0103061</v>
      </c>
      <c r="I1010" s="1" t="str">
        <f t="shared" si="149"/>
        <v>M</v>
      </c>
      <c r="J1010" s="2">
        <v>1999</v>
      </c>
      <c r="K1010" s="1" t="str">
        <f>"2D"</f>
        <v>2D</v>
      </c>
      <c r="L1010" s="1" t="s">
        <v>129</v>
      </c>
      <c r="M1010" s="1" t="str">
        <f t="shared" si="150"/>
        <v>-66</v>
      </c>
      <c r="N1010" s="1" t="str">
        <f>""</f>
        <v/>
      </c>
      <c r="O1010" s="1">
        <v>2</v>
      </c>
      <c r="P1010" s="1"/>
      <c r="Q1010" t="s">
        <v>314</v>
      </c>
    </row>
    <row r="1011" spans="1:17" x14ac:dyDescent="0.25">
      <c r="A1011" t="str">
        <f t="shared" si="148"/>
        <v>2018-10-02 23:27:17</v>
      </c>
      <c r="B1011" s="1" t="str">
        <f>""</f>
        <v/>
      </c>
      <c r="C1011" s="1" t="str">
        <f>"S.C.Corinthians"</f>
        <v>S.C.Corinthians</v>
      </c>
      <c r="D1011" s="1" t="s">
        <v>164</v>
      </c>
      <c r="E1011" s="1" t="str">
        <f>"Brazil"</f>
        <v>Brazil</v>
      </c>
      <c r="F1011" s="1" t="str">
        <f>"Rafael"</f>
        <v>Rafael</v>
      </c>
      <c r="G1011" s="1" t="str">
        <f>"Garcia"</f>
        <v>Garcia</v>
      </c>
      <c r="H1011" s="1" t="str">
        <f>"AutreFederation"</f>
        <v>AutreFederation</v>
      </c>
      <c r="I1011" s="1" t="str">
        <f t="shared" si="149"/>
        <v>M</v>
      </c>
      <c r="J1011" s="2">
        <v>2000</v>
      </c>
      <c r="K1011" s="1" t="str">
        <f>"2k"</f>
        <v>2k</v>
      </c>
      <c r="L1011" s="1" t="str">
        <f>"U21"</f>
        <v>U21</v>
      </c>
      <c r="M1011" s="1" t="str">
        <f t="shared" si="150"/>
        <v>-66</v>
      </c>
      <c r="N1011" s="1" t="str">
        <f>""</f>
        <v/>
      </c>
      <c r="O1011" s="1">
        <v>1</v>
      </c>
      <c r="P1011" s="1"/>
      <c r="Q1011" t="s">
        <v>314</v>
      </c>
    </row>
    <row r="1012" spans="1:17" x14ac:dyDescent="0.25">
      <c r="A1012" t="str">
        <f t="shared" si="148"/>
        <v>2018-10-02 23:27:17</v>
      </c>
      <c r="B1012" s="1" t="str">
        <f>""</f>
        <v/>
      </c>
      <c r="C1012" s="1" t="str">
        <f>"Hart Judo Academy"</f>
        <v>Hart Judo Academy</v>
      </c>
      <c r="D1012" s="1" t="str">
        <f>"BC"</f>
        <v>BC</v>
      </c>
      <c r="E1012" s="1" t="str">
        <f>"British Columbia"</f>
        <v>British Columbia</v>
      </c>
      <c r="F1012" s="1" t="str">
        <f>"Davin"</f>
        <v>Davin</v>
      </c>
      <c r="G1012" s="1" t="str">
        <f>"Greenwood"</f>
        <v>Greenwood</v>
      </c>
      <c r="H1012" s="1" t="str">
        <f>"0193537"</f>
        <v>0193537</v>
      </c>
      <c r="I1012" s="1" t="str">
        <f t="shared" si="149"/>
        <v>M</v>
      </c>
      <c r="J1012" s="2">
        <v>2001</v>
      </c>
      <c r="K1012" s="1" t="str">
        <f>"1k"</f>
        <v>1k</v>
      </c>
      <c r="L1012" s="1" t="s">
        <v>129</v>
      </c>
      <c r="M1012" s="1" t="str">
        <f t="shared" si="150"/>
        <v>-66</v>
      </c>
      <c r="N1012" s="1" t="str">
        <f>""</f>
        <v/>
      </c>
      <c r="O1012" s="1">
        <v>2</v>
      </c>
      <c r="P1012" s="1"/>
      <c r="Q1012" t="s">
        <v>314</v>
      </c>
    </row>
    <row r="1013" spans="1:17" x14ac:dyDescent="0.25">
      <c r="A1013" t="str">
        <f t="shared" si="148"/>
        <v>2018-10-02 23:27:17</v>
      </c>
      <c r="B1013" s="1" t="str">
        <f>""</f>
        <v/>
      </c>
      <c r="C1013" s="1" t="str">
        <f>"Ki-itsu-sai National Training Center"</f>
        <v>Ki-itsu-sai National Training Center</v>
      </c>
      <c r="D1013" s="1" t="s">
        <v>106</v>
      </c>
      <c r="E1013" s="1" t="str">
        <f>"Mississippi"</f>
        <v>Mississippi</v>
      </c>
      <c r="F1013" s="1" t="str">
        <f>"Mitchell"</f>
        <v>Mitchell</v>
      </c>
      <c r="G1013" s="1" t="str">
        <f>"Greer"</f>
        <v>Greer</v>
      </c>
      <c r="H1013" s="1" t="str">
        <f>"AutreFederation"</f>
        <v>AutreFederation</v>
      </c>
      <c r="I1013" s="1" t="str">
        <f t="shared" si="149"/>
        <v>M</v>
      </c>
      <c r="J1013" s="2">
        <v>2001</v>
      </c>
      <c r="K1013" s="1" t="str">
        <f>"1D"</f>
        <v>1D</v>
      </c>
      <c r="L1013" s="1" t="s">
        <v>129</v>
      </c>
      <c r="M1013" s="1" t="str">
        <f t="shared" si="150"/>
        <v>-66</v>
      </c>
      <c r="N1013" s="1" t="str">
        <f>""</f>
        <v/>
      </c>
      <c r="O1013" s="1">
        <v>2</v>
      </c>
      <c r="P1013" s="1"/>
      <c r="Q1013" t="s">
        <v>314</v>
      </c>
    </row>
    <row r="1014" spans="1:17" x14ac:dyDescent="0.25">
      <c r="A1014" t="str">
        <f t="shared" si="148"/>
        <v>2018-10-02 23:27:17</v>
      </c>
      <c r="B1014" s="1" t="str">
        <f>""</f>
        <v/>
      </c>
      <c r="C1014" s="1" t="str">
        <f>"Club de judo Métropolitain inc."</f>
        <v>Club de judo Métropolitain inc.</v>
      </c>
      <c r="D1014" s="1" t="str">
        <f>"QC"</f>
        <v>QC</v>
      </c>
      <c r="E1014" s="1" t="str">
        <f>"Quebec"</f>
        <v>Quebec</v>
      </c>
      <c r="F1014" s="1" t="str">
        <f>"Justin"</f>
        <v>Justin</v>
      </c>
      <c r="G1014" s="1" t="str">
        <f>"Lemire"</f>
        <v>Lemire</v>
      </c>
      <c r="H1014" s="1" t="str">
        <f>"0143882"</f>
        <v>0143882</v>
      </c>
      <c r="I1014" s="1" t="str">
        <f t="shared" si="149"/>
        <v>M</v>
      </c>
      <c r="J1014" s="2">
        <v>2001</v>
      </c>
      <c r="K1014" s="1" t="str">
        <f>"1D"</f>
        <v>1D</v>
      </c>
      <c r="L1014" s="1" t="s">
        <v>129</v>
      </c>
      <c r="M1014" s="1" t="str">
        <f t="shared" si="150"/>
        <v>-66</v>
      </c>
      <c r="N1014" s="1" t="str">
        <f>""</f>
        <v/>
      </c>
      <c r="O1014" s="1">
        <v>2</v>
      </c>
      <c r="P1014" s="1"/>
      <c r="Q1014" t="s">
        <v>314</v>
      </c>
    </row>
    <row r="1015" spans="1:17" x14ac:dyDescent="0.25">
      <c r="A1015" t="str">
        <f t="shared" si="148"/>
        <v>2018-10-02 23:27:17</v>
      </c>
      <c r="B1015" s="1" t="str">
        <f>""</f>
        <v/>
      </c>
      <c r="C1015" s="1" t="str">
        <f>"Club de judo Shidokan inc."</f>
        <v>Club de judo Shidokan inc.</v>
      </c>
      <c r="D1015" s="1" t="str">
        <f>"QC"</f>
        <v>QC</v>
      </c>
      <c r="E1015" s="1" t="str">
        <f>"Quebec"</f>
        <v>Quebec</v>
      </c>
      <c r="F1015" s="1" t="str">
        <f>"Malcolm"</f>
        <v>Malcolm</v>
      </c>
      <c r="G1015" s="1" t="str">
        <f>"Pelletier"</f>
        <v>Pelletier</v>
      </c>
      <c r="H1015" s="1" t="str">
        <f>"0158232"</f>
        <v>0158232</v>
      </c>
      <c r="I1015" s="1" t="str">
        <f t="shared" si="149"/>
        <v>M</v>
      </c>
      <c r="J1015" s="2">
        <v>2001</v>
      </c>
      <c r="K1015" s="1" t="str">
        <f>"1D"</f>
        <v>1D</v>
      </c>
      <c r="L1015" s="1" t="s">
        <v>129</v>
      </c>
      <c r="M1015" s="1" t="str">
        <f t="shared" si="150"/>
        <v>-66</v>
      </c>
      <c r="N1015" s="1" t="str">
        <f>""</f>
        <v/>
      </c>
      <c r="O1015" s="1">
        <v>2</v>
      </c>
      <c r="P1015" s="1"/>
      <c r="Q1015" t="s">
        <v>314</v>
      </c>
    </row>
    <row r="1016" spans="1:17" x14ac:dyDescent="0.25">
      <c r="A1016" t="str">
        <f>"2018-10-21 18:32:31"</f>
        <v>2018-10-21 18:32:31</v>
      </c>
      <c r="B1016" s="1" t="str">
        <f>""</f>
        <v/>
      </c>
      <c r="C1016" s="1" t="str">
        <f>"Club de judo Shidokan inc."</f>
        <v>Club de judo Shidokan inc.</v>
      </c>
      <c r="D1016" s="1" t="str">
        <f>"QC"</f>
        <v>QC</v>
      </c>
      <c r="E1016" s="1" t="str">
        <f>"Quebec"</f>
        <v>Quebec</v>
      </c>
      <c r="F1016" s="1" t="str">
        <f>"Innokenty-Kevin"</f>
        <v>Innokenty-Kevin</v>
      </c>
      <c r="G1016" s="1" t="str">
        <f>"Perelmutov"</f>
        <v>Perelmutov</v>
      </c>
      <c r="H1016" s="1" t="str">
        <f>"0214629"</f>
        <v>0214629</v>
      </c>
      <c r="I1016" s="1" t="str">
        <f t="shared" si="149"/>
        <v>M</v>
      </c>
      <c r="J1016" s="2">
        <v>2000</v>
      </c>
      <c r="K1016" s="1" t="str">
        <f>"1k"</f>
        <v>1k</v>
      </c>
      <c r="L1016" s="1" t="str">
        <f>"U21"</f>
        <v>U21</v>
      </c>
      <c r="M1016" s="1" t="str">
        <f t="shared" si="150"/>
        <v>-66</v>
      </c>
      <c r="N1016" s="1" t="str">
        <f>""</f>
        <v/>
      </c>
      <c r="O1016" s="1">
        <v>1</v>
      </c>
      <c r="P1016" s="1"/>
      <c r="Q1016" t="s">
        <v>314</v>
      </c>
    </row>
    <row r="1017" spans="1:17" x14ac:dyDescent="0.25">
      <c r="A1017" t="str">
        <f t="shared" ref="A1017:A1022" si="151">"2018-10-02 23:27:17"</f>
        <v>2018-10-02 23:27:17</v>
      </c>
      <c r="B1017" s="1" t="str">
        <f>""</f>
        <v/>
      </c>
      <c r="C1017" s="1" t="str">
        <f>"Burnaby Judo Club"</f>
        <v>Burnaby Judo Club</v>
      </c>
      <c r="D1017" s="1" t="str">
        <f>"BC"</f>
        <v>BC</v>
      </c>
      <c r="E1017" s="1" t="str">
        <f>"British Columbia"</f>
        <v>British Columbia</v>
      </c>
      <c r="F1017" s="1" t="str">
        <f>"Emil"</f>
        <v>Emil</v>
      </c>
      <c r="G1017" s="1" t="str">
        <f>"Schenk"</f>
        <v>Schenk</v>
      </c>
      <c r="H1017" s="1" t="str">
        <f>"0185790"</f>
        <v>0185790</v>
      </c>
      <c r="I1017" s="1" t="str">
        <f t="shared" si="149"/>
        <v>M</v>
      </c>
      <c r="J1017" s="2">
        <v>2003</v>
      </c>
      <c r="K1017" s="1" t="str">
        <f>"1k"</f>
        <v>1k</v>
      </c>
      <c r="L1017" s="10" t="s">
        <v>129</v>
      </c>
      <c r="M1017" s="1" t="str">
        <f t="shared" si="150"/>
        <v>-66</v>
      </c>
      <c r="N1017" s="1" t="str">
        <f>""</f>
        <v/>
      </c>
      <c r="O1017" s="1">
        <v>2</v>
      </c>
      <c r="P1017" s="1"/>
      <c r="Q1017" t="s">
        <v>314</v>
      </c>
    </row>
    <row r="1018" spans="1:17" x14ac:dyDescent="0.25">
      <c r="A1018" t="str">
        <f t="shared" si="151"/>
        <v>2018-10-02 23:27:17</v>
      </c>
      <c r="B1018" s="1" t="str">
        <f>"2018-10-25 21:28:41"</f>
        <v>2018-10-25 21:28:41</v>
      </c>
      <c r="C1018" s="1" t="str">
        <f>"Victoria Judo Club"</f>
        <v>Victoria Judo Club</v>
      </c>
      <c r="D1018" s="1" t="str">
        <f>"BC"</f>
        <v>BC</v>
      </c>
      <c r="E1018" s="1" t="str">
        <f>"British Columbia"</f>
        <v>British Columbia</v>
      </c>
      <c r="F1018" s="1" t="str">
        <f>"Finn"</f>
        <v>Finn</v>
      </c>
      <c r="G1018" s="1" t="str">
        <f>"Schroeder"</f>
        <v>Schroeder</v>
      </c>
      <c r="H1018" s="1" t="str">
        <f>"0226952"</f>
        <v>0226952</v>
      </c>
      <c r="I1018" s="1" t="str">
        <f t="shared" si="149"/>
        <v>M</v>
      </c>
      <c r="J1018" s="2">
        <v>2002</v>
      </c>
      <c r="K1018" s="1" t="str">
        <f>"1D"</f>
        <v>1D</v>
      </c>
      <c r="L1018" s="1" t="s">
        <v>129</v>
      </c>
      <c r="M1018" s="1" t="str">
        <f t="shared" si="150"/>
        <v>-66</v>
      </c>
      <c r="N1018" s="1" t="str">
        <f>""</f>
        <v/>
      </c>
      <c r="O1018" s="1">
        <v>2</v>
      </c>
      <c r="P1018" s="1"/>
      <c r="Q1018" t="s">
        <v>314</v>
      </c>
    </row>
    <row r="1019" spans="1:17" x14ac:dyDescent="0.25">
      <c r="A1019" t="str">
        <f t="shared" si="151"/>
        <v>2018-10-02 23:27:17</v>
      </c>
      <c r="B1019" s="1" t="str">
        <f>""</f>
        <v/>
      </c>
      <c r="C1019" s="1" t="str">
        <f>"Rikidokan Judo Club"</f>
        <v>Rikidokan Judo Club</v>
      </c>
      <c r="D1019" s="1" t="str">
        <f>"PE"</f>
        <v>PE</v>
      </c>
      <c r="E1019" s="1" t="str">
        <f>"Prince Edward Island"</f>
        <v>Prince Edward Island</v>
      </c>
      <c r="F1019" s="1" t="str">
        <f>"Dylan"</f>
        <v>Dylan</v>
      </c>
      <c r="G1019" s="1" t="str">
        <f>"Sheppard"</f>
        <v>Sheppard</v>
      </c>
      <c r="H1019" s="1" t="str">
        <f>"0178685"</f>
        <v>0178685</v>
      </c>
      <c r="I1019" s="1" t="str">
        <f t="shared" si="149"/>
        <v>M</v>
      </c>
      <c r="J1019" s="2">
        <v>2001</v>
      </c>
      <c r="K1019" s="1" t="str">
        <f>"1k"</f>
        <v>1k</v>
      </c>
      <c r="L1019" s="1" t="str">
        <f>"U21"</f>
        <v>U21</v>
      </c>
      <c r="M1019" s="1" t="str">
        <f t="shared" si="150"/>
        <v>-66</v>
      </c>
      <c r="N1019" s="1" t="str">
        <f>""</f>
        <v/>
      </c>
      <c r="O1019" s="1">
        <v>1</v>
      </c>
      <c r="P1019" s="1"/>
      <c r="Q1019" t="s">
        <v>314</v>
      </c>
    </row>
    <row r="1020" spans="1:17" x14ac:dyDescent="0.25">
      <c r="A1020" t="str">
        <f t="shared" si="151"/>
        <v>2018-10-02 23:27:17</v>
      </c>
      <c r="B1020" s="1" t="str">
        <f>""</f>
        <v/>
      </c>
      <c r="C1020" s="1" t="str">
        <f>"Upper Canada Judo Club"</f>
        <v>Upper Canada Judo Club</v>
      </c>
      <c r="D1020" s="1" t="str">
        <f>"ON"</f>
        <v>ON</v>
      </c>
      <c r="E1020" s="1" t="str">
        <f>"Ontario"</f>
        <v>Ontario</v>
      </c>
      <c r="F1020" s="1" t="str">
        <f>"Erik"</f>
        <v>Erik</v>
      </c>
      <c r="G1020" s="1" t="str">
        <f>"Vandersanden"</f>
        <v>Vandersanden</v>
      </c>
      <c r="H1020" s="1" t="str">
        <f>"0155021"</f>
        <v>0155021</v>
      </c>
      <c r="I1020" s="1" t="str">
        <f t="shared" si="149"/>
        <v>M</v>
      </c>
      <c r="J1020" s="2">
        <v>2001</v>
      </c>
      <c r="K1020" s="1" t="s">
        <v>158</v>
      </c>
      <c r="L1020" s="1" t="s">
        <v>129</v>
      </c>
      <c r="M1020" s="1" t="str">
        <f t="shared" si="150"/>
        <v>-66</v>
      </c>
      <c r="N1020" s="1" t="str">
        <f>""</f>
        <v/>
      </c>
      <c r="O1020" s="1">
        <v>2</v>
      </c>
      <c r="P1020" s="1"/>
      <c r="Q1020" t="s">
        <v>314</v>
      </c>
    </row>
    <row r="1021" spans="1:17" x14ac:dyDescent="0.25">
      <c r="A1021" t="str">
        <f t="shared" si="151"/>
        <v>2018-10-02 23:27:17</v>
      </c>
      <c r="B1021" s="1" t="str">
        <f>""</f>
        <v/>
      </c>
      <c r="C1021" s="1" t="str">
        <f>"Universal Judo"</f>
        <v>Universal Judo</v>
      </c>
      <c r="D1021" s="1" t="s">
        <v>106</v>
      </c>
      <c r="E1021" s="1" t="str">
        <f>"Texas"</f>
        <v>Texas</v>
      </c>
      <c r="F1021" s="1" t="str">
        <f>"Taylor"</f>
        <v>Taylor</v>
      </c>
      <c r="G1021" s="1" t="str">
        <f>"Weber"</f>
        <v>Weber</v>
      </c>
      <c r="H1021" s="1" t="str">
        <f>"AutreFederation"</f>
        <v>AutreFederation</v>
      </c>
      <c r="I1021" s="1" t="str">
        <f t="shared" si="149"/>
        <v>M</v>
      </c>
      <c r="J1021" s="2">
        <v>2001</v>
      </c>
      <c r="K1021" s="1" t="str">
        <f>"1D"</f>
        <v>1D</v>
      </c>
      <c r="L1021" s="1" t="s">
        <v>129</v>
      </c>
      <c r="M1021" s="1" t="str">
        <f t="shared" si="150"/>
        <v>-66</v>
      </c>
      <c r="N1021" s="1" t="str">
        <f>""</f>
        <v/>
      </c>
      <c r="O1021" s="1">
        <v>2</v>
      </c>
      <c r="P1021" s="1"/>
      <c r="Q1021" t="s">
        <v>314</v>
      </c>
    </row>
    <row r="1022" spans="1:17" x14ac:dyDescent="0.25">
      <c r="A1022" t="str">
        <f t="shared" si="151"/>
        <v>2018-10-02 23:27:17</v>
      </c>
      <c r="B1022" s="1" t="str">
        <f>""</f>
        <v/>
      </c>
      <c r="C1022" s="1" t="str">
        <f>"Abbotsford Judo Club"</f>
        <v>Abbotsford Judo Club</v>
      </c>
      <c r="D1022" s="1" t="str">
        <f>"BC"</f>
        <v>BC</v>
      </c>
      <c r="E1022" s="1" t="str">
        <f>"British Columbia"</f>
        <v>British Columbia</v>
      </c>
      <c r="F1022" s="1" t="str">
        <f>"Mitchell"</f>
        <v>Mitchell</v>
      </c>
      <c r="G1022" s="1" t="str">
        <f>"Wolfe"</f>
        <v>Wolfe</v>
      </c>
      <c r="H1022" s="1" t="str">
        <f>"0153535"</f>
        <v>0153535</v>
      </c>
      <c r="I1022" s="1" t="str">
        <f t="shared" si="149"/>
        <v>M</v>
      </c>
      <c r="J1022" s="2">
        <v>1999</v>
      </c>
      <c r="K1022" s="1" t="str">
        <f>"1D"</f>
        <v>1D</v>
      </c>
      <c r="L1022" s="1" t="s">
        <v>129</v>
      </c>
      <c r="M1022" s="1" t="str">
        <f t="shared" si="150"/>
        <v>-66</v>
      </c>
      <c r="N1022" s="1" t="str">
        <f>""</f>
        <v/>
      </c>
      <c r="O1022" s="1">
        <v>2</v>
      </c>
      <c r="P1022" s="1"/>
      <c r="Q1022" t="s">
        <v>314</v>
      </c>
    </row>
    <row r="1023" spans="1:17" x14ac:dyDescent="0.25">
      <c r="A1023" t="str">
        <f>"2018-10-17 20:02:11"</f>
        <v>2018-10-17 20:02:11</v>
      </c>
      <c r="B1023" s="1"/>
      <c r="C1023" s="1" t="s">
        <v>242</v>
      </c>
      <c r="D1023" s="1" t="s">
        <v>82</v>
      </c>
      <c r="E1023" s="1" t="s">
        <v>70</v>
      </c>
      <c r="F1023" s="1" t="s">
        <v>243</v>
      </c>
      <c r="G1023" s="1" t="s">
        <v>315</v>
      </c>
      <c r="H1023" s="1">
        <v>163554</v>
      </c>
      <c r="I1023" s="1" t="s">
        <v>20</v>
      </c>
      <c r="J1023" s="2">
        <v>2002</v>
      </c>
      <c r="K1023" s="1" t="s">
        <v>21</v>
      </c>
      <c r="L1023" s="10" t="s">
        <v>129</v>
      </c>
      <c r="M1023" s="12">
        <v>-70</v>
      </c>
      <c r="N1023" s="1"/>
      <c r="O1023" s="1">
        <v>2</v>
      </c>
      <c r="P1023" s="1"/>
      <c r="Q1023" t="s">
        <v>316</v>
      </c>
    </row>
    <row r="1024" spans="1:17" x14ac:dyDescent="0.25">
      <c r="A1024" t="str">
        <f>"2018-10-20 12:09:39"</f>
        <v>2018-10-20 12:09:39</v>
      </c>
      <c r="B1024" s="1" t="str">
        <f>""</f>
        <v/>
      </c>
      <c r="C1024" s="1" t="str">
        <f>"Club de judo de la vieille capitale"</f>
        <v>Club de judo de la vieille capitale</v>
      </c>
      <c r="D1024" s="1" t="str">
        <f>"QC"</f>
        <v>QC</v>
      </c>
      <c r="E1024" s="1" t="str">
        <f>"Quebec"</f>
        <v>Quebec</v>
      </c>
      <c r="F1024" s="1" t="str">
        <f>"Janie"</f>
        <v>Janie</v>
      </c>
      <c r="G1024" s="1" t="str">
        <f>"Roy"</f>
        <v>Roy</v>
      </c>
      <c r="H1024" s="1" t="str">
        <f>"0156768"</f>
        <v>0156768</v>
      </c>
      <c r="I1024" s="1" t="str">
        <f>"F"</f>
        <v>F</v>
      </c>
      <c r="J1024" s="2">
        <v>2001</v>
      </c>
      <c r="K1024" s="1" t="str">
        <f>"1k"</f>
        <v>1k</v>
      </c>
      <c r="L1024" s="1" t="str">
        <f>"U21"</f>
        <v>U21</v>
      </c>
      <c r="M1024" s="1" t="str">
        <f>"-70"</f>
        <v>-70</v>
      </c>
      <c r="N1024" s="1" t="str">
        <f>""</f>
        <v/>
      </c>
      <c r="O1024" s="1">
        <v>1</v>
      </c>
      <c r="P1024" s="1"/>
      <c r="Q1024" t="s">
        <v>316</v>
      </c>
    </row>
    <row r="1025" spans="1:17" x14ac:dyDescent="0.25">
      <c r="A1025" t="str">
        <f>"2018-10-22 16:08:20"</f>
        <v>2018-10-22 16:08:20</v>
      </c>
      <c r="B1025" s="1" t="str">
        <f>""</f>
        <v/>
      </c>
      <c r="C1025" s="1" t="str">
        <f>"Upper Canada Judo Club"</f>
        <v>Upper Canada Judo Club</v>
      </c>
      <c r="D1025" s="1" t="str">
        <f>"ON"</f>
        <v>ON</v>
      </c>
      <c r="E1025" s="1" t="str">
        <f>"Ontario"</f>
        <v>Ontario</v>
      </c>
      <c r="F1025" s="1" t="str">
        <f>"Ben"</f>
        <v>Ben</v>
      </c>
      <c r="G1025" s="1" t="str">
        <f>"Andrews"</f>
        <v>Andrews</v>
      </c>
      <c r="H1025" s="1" t="str">
        <f>"0142264"</f>
        <v>0142264</v>
      </c>
      <c r="I1025" s="1" t="str">
        <f t="shared" ref="I1025:I1049" si="152">"M"</f>
        <v>M</v>
      </c>
      <c r="J1025" s="2">
        <v>2001</v>
      </c>
      <c r="K1025" s="1" t="str">
        <f>"1D"</f>
        <v>1D</v>
      </c>
      <c r="L1025" s="1" t="s">
        <v>129</v>
      </c>
      <c r="M1025" s="1" t="str">
        <f t="shared" ref="M1025:M1049" si="153">"-73"</f>
        <v>-73</v>
      </c>
      <c r="N1025" s="1" t="str">
        <f>""</f>
        <v/>
      </c>
      <c r="O1025" s="1">
        <v>2</v>
      </c>
      <c r="P1025" s="1"/>
      <c r="Q1025" t="s">
        <v>317</v>
      </c>
    </row>
    <row r="1026" spans="1:17" x14ac:dyDescent="0.25">
      <c r="A1026" t="str">
        <f>"2018-10-22 12:05:21"</f>
        <v>2018-10-22 12:05:21</v>
      </c>
      <c r="B1026" s="1" t="str">
        <f>""</f>
        <v/>
      </c>
      <c r="C1026" s="1" t="str">
        <f>"Olympic Judo Centre"</f>
        <v>Olympic Judo Centre</v>
      </c>
      <c r="D1026" s="1" t="str">
        <f>"ON"</f>
        <v>ON</v>
      </c>
      <c r="E1026" s="1" t="str">
        <f>"Ontario"</f>
        <v>Ontario</v>
      </c>
      <c r="F1026" s="1" t="str">
        <f>"Sava"</f>
        <v>Sava</v>
      </c>
      <c r="G1026" s="1" t="str">
        <f>"Antic"</f>
        <v>Antic</v>
      </c>
      <c r="H1026" s="1" t="str">
        <f>"0149355"</f>
        <v>0149355</v>
      </c>
      <c r="I1026" s="1" t="str">
        <f t="shared" si="152"/>
        <v>M</v>
      </c>
      <c r="J1026" s="2">
        <v>2000</v>
      </c>
      <c r="K1026" s="1" t="str">
        <f>"1D"</f>
        <v>1D</v>
      </c>
      <c r="L1026" s="1" t="s">
        <v>129</v>
      </c>
      <c r="M1026" s="1" t="str">
        <f t="shared" si="153"/>
        <v>-73</v>
      </c>
      <c r="N1026" s="1" t="str">
        <f>""</f>
        <v/>
      </c>
      <c r="O1026" s="1">
        <v>2</v>
      </c>
      <c r="P1026" s="1"/>
      <c r="Q1026" t="s">
        <v>317</v>
      </c>
    </row>
    <row r="1027" spans="1:17" x14ac:dyDescent="0.25">
      <c r="A1027" t="str">
        <f>"2018-10-13 17:12:14"</f>
        <v>2018-10-13 17:12:14</v>
      </c>
      <c r="B1027" s="1" t="str">
        <f>""</f>
        <v/>
      </c>
      <c r="C1027" s="1" t="str">
        <f>"Los Angeles Tenri Judo Dojo"</f>
        <v>Los Angeles Tenri Judo Dojo</v>
      </c>
      <c r="D1027" s="1" t="s">
        <v>106</v>
      </c>
      <c r="E1027" s="1" t="str">
        <f>"California"</f>
        <v>California</v>
      </c>
      <c r="F1027" s="1" t="str">
        <f>"Corbin Keegan"</f>
        <v>Corbin Keegan</v>
      </c>
      <c r="G1027" s="1" t="str">
        <f>"Balitactac"</f>
        <v>Balitactac</v>
      </c>
      <c r="H1027" s="1" t="str">
        <f>"AutreFederation"</f>
        <v>AutreFederation</v>
      </c>
      <c r="I1027" s="1" t="str">
        <f t="shared" si="152"/>
        <v>M</v>
      </c>
      <c r="J1027" s="2">
        <v>2000</v>
      </c>
      <c r="K1027" s="1" t="str">
        <f>"1D"</f>
        <v>1D</v>
      </c>
      <c r="L1027" s="1" t="s">
        <v>129</v>
      </c>
      <c r="M1027" s="1" t="str">
        <f t="shared" si="153"/>
        <v>-73</v>
      </c>
      <c r="N1027" s="1" t="str">
        <f>"73 kg"</f>
        <v>73 kg</v>
      </c>
      <c r="O1027" s="1">
        <v>2</v>
      </c>
      <c r="P1027" s="1"/>
      <c r="Q1027" t="s">
        <v>317</v>
      </c>
    </row>
    <row r="1028" spans="1:17" x14ac:dyDescent="0.25">
      <c r="A1028" t="str">
        <f>"2018-10-04 17:52:05"</f>
        <v>2018-10-04 17:52:05</v>
      </c>
      <c r="B1028" s="1" t="str">
        <f>""</f>
        <v/>
      </c>
      <c r="C1028" s="1" t="str">
        <f>"Cloverdale Judo Club"</f>
        <v>Cloverdale Judo Club</v>
      </c>
      <c r="D1028" s="1" t="str">
        <f>"ON"</f>
        <v>ON</v>
      </c>
      <c r="E1028" s="1" t="str">
        <f>"Canada"</f>
        <v>Canada</v>
      </c>
      <c r="F1028" s="1" t="str">
        <f>"Noah"</f>
        <v>Noah</v>
      </c>
      <c r="G1028" s="1" t="str">
        <f>"Barkhouse"</f>
        <v>Barkhouse</v>
      </c>
      <c r="H1028" s="7" t="str">
        <f>"AutreFederation"</f>
        <v>AutreFederation</v>
      </c>
      <c r="I1028" s="1" t="str">
        <f t="shared" si="152"/>
        <v>M</v>
      </c>
      <c r="J1028" s="2">
        <v>1999</v>
      </c>
      <c r="K1028" s="1" t="str">
        <f>"3k"</f>
        <v>3k</v>
      </c>
      <c r="L1028" s="1" t="s">
        <v>129</v>
      </c>
      <c r="M1028" s="1" t="str">
        <f t="shared" si="153"/>
        <v>-73</v>
      </c>
      <c r="N1028" s="1" t="str">
        <f>""</f>
        <v/>
      </c>
      <c r="O1028" s="1">
        <v>2</v>
      </c>
      <c r="P1028" s="1"/>
      <c r="Q1028" t="s">
        <v>317</v>
      </c>
    </row>
    <row r="1029" spans="1:17" x14ac:dyDescent="0.25">
      <c r="A1029" t="str">
        <f>"2018-10-21 22:55:11"</f>
        <v>2018-10-21 22:55:11</v>
      </c>
      <c r="B1029" s="1" t="str">
        <f>""</f>
        <v/>
      </c>
      <c r="C1029" s="1" t="str">
        <f>"Club de judo Shidokan inc."</f>
        <v>Club de judo Shidokan inc.</v>
      </c>
      <c r="D1029" s="1" t="str">
        <f>"QC"</f>
        <v>QC</v>
      </c>
      <c r="E1029" s="1" t="str">
        <f>"Quebec"</f>
        <v>Quebec</v>
      </c>
      <c r="F1029" s="1" t="str">
        <f>"Victor"</f>
        <v>Victor</v>
      </c>
      <c r="G1029" s="1" t="str">
        <f>"Barriault"</f>
        <v>Barriault</v>
      </c>
      <c r="H1029" s="1" t="str">
        <f>"0103442"</f>
        <v>0103442</v>
      </c>
      <c r="I1029" s="1" t="str">
        <f t="shared" si="152"/>
        <v>M</v>
      </c>
      <c r="J1029" s="2">
        <v>2000</v>
      </c>
      <c r="K1029" s="1" t="str">
        <f>"1D"</f>
        <v>1D</v>
      </c>
      <c r="L1029" s="1" t="s">
        <v>129</v>
      </c>
      <c r="M1029" s="1" t="str">
        <f t="shared" si="153"/>
        <v>-73</v>
      </c>
      <c r="N1029" s="1" t="str">
        <f>"-73"</f>
        <v>-73</v>
      </c>
      <c r="O1029" s="1">
        <v>2</v>
      </c>
      <c r="P1029" s="1"/>
      <c r="Q1029" t="s">
        <v>317</v>
      </c>
    </row>
    <row r="1030" spans="1:17" x14ac:dyDescent="0.25">
      <c r="B1030" s="1" t="str">
        <f>""</f>
        <v/>
      </c>
      <c r="C1030" s="1" t="str">
        <f>"Yawara Force Judo"</f>
        <v>Yawara Force Judo</v>
      </c>
      <c r="D1030" s="1" t="s">
        <v>106</v>
      </c>
      <c r="E1030" s="1" t="str">
        <f>"Pennslyvania  USA"</f>
        <v>Pennslyvania  USA</v>
      </c>
      <c r="F1030" s="1" t="str">
        <f>"Oleh"</f>
        <v>Oleh</v>
      </c>
      <c r="G1030" s="1" t="str">
        <f>"Dopilko"</f>
        <v>Dopilko</v>
      </c>
      <c r="H1030" s="1" t="str">
        <f>"AutreFederation"</f>
        <v>AutreFederation</v>
      </c>
      <c r="I1030" s="1" t="str">
        <f t="shared" si="152"/>
        <v>M</v>
      </c>
      <c r="J1030" s="1">
        <v>2000</v>
      </c>
      <c r="K1030" s="1" t="s">
        <v>110</v>
      </c>
      <c r="L1030" s="1" t="s">
        <v>129</v>
      </c>
      <c r="M1030" s="1" t="str">
        <f t="shared" si="153"/>
        <v>-73</v>
      </c>
      <c r="N1030" s="1" t="str">
        <f>""</f>
        <v/>
      </c>
      <c r="O1030" s="1">
        <v>2</v>
      </c>
      <c r="P1030" s="1"/>
      <c r="Q1030" t="s">
        <v>317</v>
      </c>
    </row>
    <row r="1031" spans="1:17" x14ac:dyDescent="0.25">
      <c r="A1031" t="str">
        <f>"2018-10-21 22:52:29"</f>
        <v>2018-10-21 22:52:29</v>
      </c>
      <c r="B1031" s="1" t="str">
        <f>""</f>
        <v/>
      </c>
      <c r="C1031" s="1" t="str">
        <f>"Selkirk Judo Club"</f>
        <v>Selkirk Judo Club</v>
      </c>
      <c r="D1031" s="1" t="str">
        <f>"MB"</f>
        <v>MB</v>
      </c>
      <c r="E1031" s="1" t="str">
        <f>"Manitoba"</f>
        <v>Manitoba</v>
      </c>
      <c r="F1031" s="1" t="str">
        <f>"Damien"</f>
        <v>Damien</v>
      </c>
      <c r="G1031" s="1" t="str">
        <f>"Ekosky"</f>
        <v>Ekosky</v>
      </c>
      <c r="H1031" s="1" t="str">
        <f>"0156194"</f>
        <v>0156194</v>
      </c>
      <c r="I1031" s="1" t="str">
        <f t="shared" si="152"/>
        <v>M</v>
      </c>
      <c r="J1031" s="2">
        <v>1999</v>
      </c>
      <c r="K1031" s="1" t="str">
        <f>"1D"</f>
        <v>1D</v>
      </c>
      <c r="L1031" s="1" t="s">
        <v>129</v>
      </c>
      <c r="M1031" s="1" t="str">
        <f t="shared" si="153"/>
        <v>-73</v>
      </c>
      <c r="N1031" s="1" t="str">
        <f>""</f>
        <v/>
      </c>
      <c r="O1031" s="1">
        <v>2</v>
      </c>
      <c r="P1031" s="1"/>
      <c r="Q1031" t="s">
        <v>317</v>
      </c>
    </row>
    <row r="1032" spans="1:17" x14ac:dyDescent="0.25">
      <c r="A1032" t="str">
        <f>"2018-10-21 22:52:29"</f>
        <v>2018-10-21 22:52:29</v>
      </c>
      <c r="B1032" s="1" t="str">
        <f>""</f>
        <v/>
      </c>
      <c r="C1032" s="1" t="str">
        <f>"Selkirk Judo Club"</f>
        <v>Selkirk Judo Club</v>
      </c>
      <c r="D1032" s="1" t="str">
        <f>"MB"</f>
        <v>MB</v>
      </c>
      <c r="E1032" s="1" t="str">
        <f>"Manitoba"</f>
        <v>Manitoba</v>
      </c>
      <c r="F1032" s="1" t="str">
        <f>"Justin"</f>
        <v>Justin</v>
      </c>
      <c r="G1032" s="1" t="str">
        <f>"Ekosky"</f>
        <v>Ekosky</v>
      </c>
      <c r="H1032" s="1" t="str">
        <f>"0156195"</f>
        <v>0156195</v>
      </c>
      <c r="I1032" s="1" t="str">
        <f t="shared" si="152"/>
        <v>M</v>
      </c>
      <c r="J1032" s="2">
        <v>2001</v>
      </c>
      <c r="K1032" s="1" t="str">
        <f>"1k"</f>
        <v>1k</v>
      </c>
      <c r="L1032" s="1" t="s">
        <v>129</v>
      </c>
      <c r="M1032" s="1" t="str">
        <f t="shared" si="153"/>
        <v>-73</v>
      </c>
      <c r="N1032" s="1" t="str">
        <f>""</f>
        <v/>
      </c>
      <c r="O1032" s="1">
        <v>2</v>
      </c>
      <c r="P1032" s="1"/>
      <c r="Q1032" t="s">
        <v>317</v>
      </c>
    </row>
    <row r="1033" spans="1:17" x14ac:dyDescent="0.25">
      <c r="A1033" t="str">
        <f>"2018-10-02 23:27:17"</f>
        <v>2018-10-02 23:27:17</v>
      </c>
      <c r="B1033" s="1" t="str">
        <f>""</f>
        <v/>
      </c>
      <c r="C1033" s="1" t="str">
        <f>"Tolide Judo Kwai"</f>
        <v>Tolide Judo Kwai</v>
      </c>
      <c r="D1033" s="1" t="str">
        <f>"AB"</f>
        <v>AB</v>
      </c>
      <c r="E1033" s="1" t="str">
        <f>"Alberta"</f>
        <v>Alberta</v>
      </c>
      <c r="F1033" s="1" t="str">
        <f>"Nicolas"</f>
        <v>Nicolas</v>
      </c>
      <c r="G1033" s="1" t="str">
        <f>"Gagnon"</f>
        <v>Gagnon</v>
      </c>
      <c r="H1033" s="1" t="str">
        <f>"0167303"</f>
        <v>0167303</v>
      </c>
      <c r="I1033" s="1" t="str">
        <f t="shared" si="152"/>
        <v>M</v>
      </c>
      <c r="J1033" s="2">
        <v>2001</v>
      </c>
      <c r="K1033" s="1" t="str">
        <f>"1k"</f>
        <v>1k</v>
      </c>
      <c r="L1033" s="1" t="s">
        <v>129</v>
      </c>
      <c r="M1033" s="1" t="str">
        <f t="shared" si="153"/>
        <v>-73</v>
      </c>
      <c r="N1033" s="1" t="str">
        <f>""</f>
        <v/>
      </c>
      <c r="O1033" s="1">
        <v>2</v>
      </c>
      <c r="P1033" s="1"/>
      <c r="Q1033" t="s">
        <v>317</v>
      </c>
    </row>
    <row r="1034" spans="1:17" x14ac:dyDescent="0.25">
      <c r="A1034" t="str">
        <f>"2018-09-28 21:39:21"</f>
        <v>2018-09-28 21:39:21</v>
      </c>
      <c r="B1034" s="1" t="str">
        <f>""</f>
        <v/>
      </c>
      <c r="C1034" s="1" t="str">
        <f>"Steveston Judo Club"</f>
        <v>Steveston Judo Club</v>
      </c>
      <c r="D1034" s="1" t="str">
        <f>"BC"</f>
        <v>BC</v>
      </c>
      <c r="E1034" s="1" t="str">
        <f>"British Columbia"</f>
        <v>British Columbia</v>
      </c>
      <c r="F1034" s="1" t="str">
        <f>"Aytun"</f>
        <v>Aytun</v>
      </c>
      <c r="G1034" s="1" t="str">
        <f>"Gill"</f>
        <v>Gill</v>
      </c>
      <c r="H1034" s="1" t="str">
        <f>"0171059"</f>
        <v>0171059</v>
      </c>
      <c r="I1034" s="1" t="str">
        <f t="shared" si="152"/>
        <v>M</v>
      </c>
      <c r="J1034" s="2">
        <v>2001</v>
      </c>
      <c r="K1034" s="1" t="str">
        <f>"1k"</f>
        <v>1k</v>
      </c>
      <c r="L1034" s="1" t="s">
        <v>129</v>
      </c>
      <c r="M1034" s="1" t="str">
        <f t="shared" si="153"/>
        <v>-73</v>
      </c>
      <c r="N1034" s="1" t="str">
        <f>""</f>
        <v/>
      </c>
      <c r="O1034" s="1">
        <v>2</v>
      </c>
      <c r="P1034" s="1"/>
      <c r="Q1034" t="s">
        <v>317</v>
      </c>
    </row>
    <row r="1035" spans="1:17" x14ac:dyDescent="0.25">
      <c r="A1035" t="str">
        <f>"2018-10-18 07:57:48"</f>
        <v>2018-10-18 07:57:48</v>
      </c>
      <c r="B1035" s="1" t="str">
        <f>""</f>
        <v/>
      </c>
      <c r="C1035" s="1" t="str">
        <f>"Club de judo Shidokan inc."</f>
        <v>Club de judo Shidokan inc.</v>
      </c>
      <c r="D1035" s="1" t="str">
        <f>"QC"</f>
        <v>QC</v>
      </c>
      <c r="E1035" s="1" t="str">
        <f>"Quebec"</f>
        <v>Quebec</v>
      </c>
      <c r="F1035" s="1" t="str">
        <f>"Orlando"</f>
        <v>Orlando</v>
      </c>
      <c r="G1035" s="1" t="str">
        <f>"Horak"</f>
        <v>Horak</v>
      </c>
      <c r="H1035" s="1" t="str">
        <f>"0194674"</f>
        <v>0194674</v>
      </c>
      <c r="I1035" s="1" t="str">
        <f t="shared" si="152"/>
        <v>M</v>
      </c>
      <c r="J1035" s="2">
        <v>2000</v>
      </c>
      <c r="K1035" s="1" t="str">
        <f>"1D"</f>
        <v>1D</v>
      </c>
      <c r="L1035" s="1" t="s">
        <v>129</v>
      </c>
      <c r="M1035" s="1" t="str">
        <f t="shared" si="153"/>
        <v>-73</v>
      </c>
      <c r="N1035" s="1" t="str">
        <f>"73"</f>
        <v>73</v>
      </c>
      <c r="O1035" s="1">
        <v>2</v>
      </c>
      <c r="P1035" s="1"/>
      <c r="Q1035" t="s">
        <v>317</v>
      </c>
    </row>
    <row r="1036" spans="1:17" x14ac:dyDescent="0.25">
      <c r="A1036" t="str">
        <f>"2018-10-02 23:27:17"</f>
        <v>2018-10-02 23:27:17</v>
      </c>
      <c r="B1036" s="1" t="str">
        <f>""</f>
        <v/>
      </c>
      <c r="C1036" s="1" t="str">
        <f>"Kodokwai Judo Club"</f>
        <v>Kodokwai Judo Club</v>
      </c>
      <c r="D1036" s="1" t="str">
        <f>"AB"</f>
        <v>AB</v>
      </c>
      <c r="E1036" s="1" t="str">
        <f>"Alberta"</f>
        <v>Alberta</v>
      </c>
      <c r="F1036" s="1" t="str">
        <f>"William (davis)"</f>
        <v>William (davis)</v>
      </c>
      <c r="G1036" s="1" t="str">
        <f>"Johnston"</f>
        <v>Johnston</v>
      </c>
      <c r="H1036" s="1" t="str">
        <f>"0166515"</f>
        <v>0166515</v>
      </c>
      <c r="I1036" s="1" t="str">
        <f t="shared" si="152"/>
        <v>M</v>
      </c>
      <c r="J1036" s="2">
        <v>2001</v>
      </c>
      <c r="K1036" s="1" t="str">
        <f>"1k"</f>
        <v>1k</v>
      </c>
      <c r="L1036" s="1" t="s">
        <v>129</v>
      </c>
      <c r="M1036" s="1" t="str">
        <f t="shared" si="153"/>
        <v>-73</v>
      </c>
      <c r="N1036" s="1" t="str">
        <f>""</f>
        <v/>
      </c>
      <c r="O1036" s="1">
        <v>2</v>
      </c>
      <c r="P1036" s="1"/>
      <c r="Q1036" t="s">
        <v>317</v>
      </c>
    </row>
    <row r="1037" spans="1:17" x14ac:dyDescent="0.25">
      <c r="A1037" t="str">
        <f>"2018-10-21 22:48:18"</f>
        <v>2018-10-21 22:48:18</v>
      </c>
      <c r="B1037" s="1" t="str">
        <f>""</f>
        <v/>
      </c>
      <c r="C1037" s="1" t="str">
        <f>"Club de judo Shidokan inc."</f>
        <v>Club de judo Shidokan inc.</v>
      </c>
      <c r="D1037" s="1" t="str">
        <f>"QC"</f>
        <v>QC</v>
      </c>
      <c r="E1037" s="1" t="str">
        <f>"Quebec"</f>
        <v>Quebec</v>
      </c>
      <c r="F1037" s="1" t="str">
        <f>"Bogdan"</f>
        <v>Bogdan</v>
      </c>
      <c r="G1037" s="1" t="str">
        <f>"Jora"</f>
        <v>Jora</v>
      </c>
      <c r="H1037" s="1" t="str">
        <f>"0163155"</f>
        <v>0163155</v>
      </c>
      <c r="I1037" s="1" t="str">
        <f t="shared" si="152"/>
        <v>M</v>
      </c>
      <c r="J1037" s="2">
        <v>2001</v>
      </c>
      <c r="K1037" s="1" t="str">
        <f>"1D"</f>
        <v>1D</v>
      </c>
      <c r="L1037" s="1" t="s">
        <v>129</v>
      </c>
      <c r="M1037" s="1" t="str">
        <f t="shared" si="153"/>
        <v>-73</v>
      </c>
      <c r="N1037" s="1" t="str">
        <f>""</f>
        <v/>
      </c>
      <c r="O1037" s="1">
        <v>2</v>
      </c>
      <c r="P1037" s="1"/>
      <c r="Q1037" t="s">
        <v>317</v>
      </c>
    </row>
    <row r="1038" spans="1:17" x14ac:dyDescent="0.25">
      <c r="A1038" t="str">
        <f>"2018-10-24 23:21:36"</f>
        <v>2018-10-24 23:21:36</v>
      </c>
      <c r="B1038" s="1" t="str">
        <f>""</f>
        <v/>
      </c>
      <c r="C1038" s="1" t="str">
        <f>"U Of M Judo Club"</f>
        <v>U Of M Judo Club</v>
      </c>
      <c r="D1038" s="1" t="str">
        <f>"MB"</f>
        <v>MB</v>
      </c>
      <c r="E1038" s="1" t="str">
        <f>"Manitoba"</f>
        <v>Manitoba</v>
      </c>
      <c r="F1038" s="1" t="str">
        <f>"Shogun"</f>
        <v>Shogun</v>
      </c>
      <c r="G1038" s="1" t="str">
        <f>"Laczko"</f>
        <v>Laczko</v>
      </c>
      <c r="H1038" s="1" t="str">
        <f>"0174976"</f>
        <v>0174976</v>
      </c>
      <c r="I1038" s="1" t="str">
        <f t="shared" si="152"/>
        <v>M</v>
      </c>
      <c r="J1038" s="2">
        <v>2000</v>
      </c>
      <c r="K1038" s="1" t="str">
        <f>"1D"</f>
        <v>1D</v>
      </c>
      <c r="L1038" s="1" t="s">
        <v>129</v>
      </c>
      <c r="M1038" s="1" t="str">
        <f t="shared" si="153"/>
        <v>-73</v>
      </c>
      <c r="N1038" s="1" t="str">
        <f>""</f>
        <v/>
      </c>
      <c r="O1038" s="1">
        <v>2</v>
      </c>
      <c r="P1038" s="1"/>
      <c r="Q1038" t="s">
        <v>317</v>
      </c>
    </row>
    <row r="1039" spans="1:17" x14ac:dyDescent="0.25">
      <c r="A1039" t="str">
        <f>"2018-10-26 18:03:06"</f>
        <v>2018-10-26 18:03:06</v>
      </c>
      <c r="B1039" s="1" t="str">
        <f>""</f>
        <v/>
      </c>
      <c r="C1039" s="1" t="str">
        <f>"AJAX Budokan"</f>
        <v>AJAX Budokan</v>
      </c>
      <c r="D1039" s="1" t="str">
        <f>"ON"</f>
        <v>ON</v>
      </c>
      <c r="E1039" s="1" t="str">
        <f>"Ontario"</f>
        <v>Ontario</v>
      </c>
      <c r="F1039" s="1" t="str">
        <f>"Nicholas"</f>
        <v>Nicholas</v>
      </c>
      <c r="G1039" s="1" t="str">
        <f>"Langlois"</f>
        <v>Langlois</v>
      </c>
      <c r="H1039" s="1" t="str">
        <f>"0146599"</f>
        <v>0146599</v>
      </c>
      <c r="I1039" s="1" t="str">
        <f t="shared" si="152"/>
        <v>M</v>
      </c>
      <c r="J1039" s="2">
        <v>2001</v>
      </c>
      <c r="K1039" s="1" t="str">
        <f>"1k"</f>
        <v>1k</v>
      </c>
      <c r="L1039" s="1" t="s">
        <v>129</v>
      </c>
      <c r="M1039" s="1" t="str">
        <f t="shared" si="153"/>
        <v>-73</v>
      </c>
      <c r="N1039" s="1" t="str">
        <f>""</f>
        <v/>
      </c>
      <c r="O1039" s="1">
        <v>2</v>
      </c>
      <c r="P1039" s="1"/>
      <c r="Q1039" t="s">
        <v>317</v>
      </c>
    </row>
    <row r="1040" spans="1:17" x14ac:dyDescent="0.25">
      <c r="A1040" t="str">
        <f>"2018-10-21 23:55:26"</f>
        <v>2018-10-21 23:55:26</v>
      </c>
      <c r="B1040" s="1" t="str">
        <f>""</f>
        <v/>
      </c>
      <c r="C1040" s="1" t="str">
        <f>"Taifu Judo Club"</f>
        <v>Taifu Judo Club</v>
      </c>
      <c r="D1040" s="1" t="str">
        <f>"ON"</f>
        <v>ON</v>
      </c>
      <c r="E1040" s="1" t="str">
        <f>"Ontario"</f>
        <v>Ontario</v>
      </c>
      <c r="F1040" s="1" t="str">
        <f>"Daniel"</f>
        <v>Daniel</v>
      </c>
      <c r="G1040" s="1" t="str">
        <f>"Maman"</f>
        <v>Maman</v>
      </c>
      <c r="H1040" s="1" t="str">
        <f>"0187136"</f>
        <v>0187136</v>
      </c>
      <c r="I1040" s="1" t="str">
        <f t="shared" si="152"/>
        <v>M</v>
      </c>
      <c r="J1040" s="2">
        <v>1999</v>
      </c>
      <c r="K1040" s="1" t="str">
        <f>"1D"</f>
        <v>1D</v>
      </c>
      <c r="L1040" s="1" t="s">
        <v>129</v>
      </c>
      <c r="M1040" s="1" t="str">
        <f t="shared" si="153"/>
        <v>-73</v>
      </c>
      <c r="N1040" s="1" t="str">
        <f>"-73"</f>
        <v>-73</v>
      </c>
      <c r="O1040" s="1">
        <v>2</v>
      </c>
      <c r="P1040" s="1"/>
      <c r="Q1040" t="s">
        <v>317</v>
      </c>
    </row>
    <row r="1041" spans="1:17" x14ac:dyDescent="0.25">
      <c r="A1041" t="str">
        <f>"2018-10-10 20:37:29"</f>
        <v>2018-10-10 20:37:29</v>
      </c>
      <c r="B1041" s="1" t="str">
        <f>""</f>
        <v/>
      </c>
      <c r="C1041" s="1" t="str">
        <f>"Club de judo Seiko"</f>
        <v>Club de judo Seiko</v>
      </c>
      <c r="D1041" s="1" t="str">
        <f>"QC"</f>
        <v>QC</v>
      </c>
      <c r="E1041" s="1" t="str">
        <f>"Quebec"</f>
        <v>Quebec</v>
      </c>
      <c r="F1041" s="1" t="str">
        <f>"Jules"</f>
        <v>Jules</v>
      </c>
      <c r="G1041" s="1" t="str">
        <f>"Martin"</f>
        <v>Martin</v>
      </c>
      <c r="H1041" s="1" t="str">
        <f>"0102045"</f>
        <v>0102045</v>
      </c>
      <c r="I1041" s="1" t="str">
        <f t="shared" si="152"/>
        <v>M</v>
      </c>
      <c r="J1041" s="2">
        <v>2001</v>
      </c>
      <c r="K1041" s="1" t="str">
        <f>"1D"</f>
        <v>1D</v>
      </c>
      <c r="L1041" s="1" t="s">
        <v>129</v>
      </c>
      <c r="M1041" s="1" t="str">
        <f t="shared" si="153"/>
        <v>-73</v>
      </c>
      <c r="N1041" s="1" t="str">
        <f>""</f>
        <v/>
      </c>
      <c r="O1041" s="1">
        <v>2</v>
      </c>
      <c r="P1041" s="1"/>
      <c r="Q1041" t="s">
        <v>317</v>
      </c>
    </row>
    <row r="1042" spans="1:17" x14ac:dyDescent="0.25">
      <c r="A1042" t="str">
        <f>"2018-09-28 21:39:21"</f>
        <v>2018-09-28 21:39:21</v>
      </c>
      <c r="B1042" s="1" t="str">
        <f>""</f>
        <v/>
      </c>
      <c r="C1042" s="1" t="str">
        <f>"Associaçao de Judo UNIMES"</f>
        <v>Associaçao de Judo UNIMES</v>
      </c>
      <c r="D1042" s="1" t="s">
        <v>164</v>
      </c>
      <c r="E1042" s="1" t="str">
        <f>"Brazil"</f>
        <v>Brazil</v>
      </c>
      <c r="F1042" s="1" t="str">
        <f>"Gustavo"</f>
        <v>Gustavo</v>
      </c>
      <c r="G1042" s="1" t="str">
        <f>"Mendes"</f>
        <v>Mendes</v>
      </c>
      <c r="H1042" s="1" t="str">
        <f>"AutreFederation"</f>
        <v>AutreFederation</v>
      </c>
      <c r="I1042" s="1" t="str">
        <f t="shared" si="152"/>
        <v>M</v>
      </c>
      <c r="J1042" s="2">
        <v>2000</v>
      </c>
      <c r="K1042" s="1" t="str">
        <f>"1D"</f>
        <v>1D</v>
      </c>
      <c r="L1042" s="1" t="s">
        <v>129</v>
      </c>
      <c r="M1042" s="1" t="str">
        <f t="shared" si="153"/>
        <v>-73</v>
      </c>
      <c r="N1042" s="1" t="str">
        <f>""</f>
        <v/>
      </c>
      <c r="O1042" s="1">
        <v>2</v>
      </c>
      <c r="P1042" s="1"/>
      <c r="Q1042" t="s">
        <v>317</v>
      </c>
    </row>
    <row r="1043" spans="1:17" x14ac:dyDescent="0.25">
      <c r="A1043" t="str">
        <f>"2018-10-21 23:07:27"</f>
        <v>2018-10-21 23:07:27</v>
      </c>
      <c r="B1043" s="1" t="str">
        <f>""</f>
        <v/>
      </c>
      <c r="C1043" s="1" t="str">
        <f>"Club judo St-Leonard"</f>
        <v>Club judo St-Leonard</v>
      </c>
      <c r="D1043" s="1" t="str">
        <f>"QC"</f>
        <v>QC</v>
      </c>
      <c r="E1043" s="1" t="str">
        <f>"Quebec"</f>
        <v>Quebec</v>
      </c>
      <c r="F1043" s="1" t="str">
        <f>"Wassim"</f>
        <v>Wassim</v>
      </c>
      <c r="G1043" s="1" t="str">
        <f>"Ouali"</f>
        <v>Ouali</v>
      </c>
      <c r="H1043" s="1" t="str">
        <f>"0103868"</f>
        <v>0103868</v>
      </c>
      <c r="I1043" s="1" t="str">
        <f t="shared" si="152"/>
        <v>M</v>
      </c>
      <c r="J1043" s="2">
        <v>2000</v>
      </c>
      <c r="K1043" s="1" t="str">
        <f>"1D"</f>
        <v>1D</v>
      </c>
      <c r="L1043" s="1" t="s">
        <v>129</v>
      </c>
      <c r="M1043" s="1" t="str">
        <f t="shared" si="153"/>
        <v>-73</v>
      </c>
      <c r="N1043" s="1" t="str">
        <f>""</f>
        <v/>
      </c>
      <c r="O1043" s="1">
        <v>2</v>
      </c>
      <c r="P1043" s="1"/>
      <c r="Q1043" t="s">
        <v>317</v>
      </c>
    </row>
    <row r="1044" spans="1:17" x14ac:dyDescent="0.25">
      <c r="A1044" t="str">
        <f>"2018-10-21 23:07:27"</f>
        <v>2018-10-21 23:07:27</v>
      </c>
      <c r="B1044" s="1" t="str">
        <f>""</f>
        <v/>
      </c>
      <c r="C1044" s="1" t="str">
        <f>"Club de Judo Jikan"</f>
        <v>Club de Judo Jikan</v>
      </c>
      <c r="D1044" s="1" t="str">
        <f>"QC"</f>
        <v>QC</v>
      </c>
      <c r="E1044" s="1" t="str">
        <f>"Quebec"</f>
        <v>Quebec</v>
      </c>
      <c r="F1044" s="1" t="str">
        <f>"Olivier"</f>
        <v>Olivier</v>
      </c>
      <c r="G1044" s="1" t="str">
        <f>"Parent"</f>
        <v>Parent</v>
      </c>
      <c r="H1044" s="1" t="str">
        <f>"0088567"</f>
        <v>0088567</v>
      </c>
      <c r="I1044" s="1" t="str">
        <f t="shared" si="152"/>
        <v>M</v>
      </c>
      <c r="J1044" s="2">
        <v>2000</v>
      </c>
      <c r="K1044" s="1" t="str">
        <f>"1k"</f>
        <v>1k</v>
      </c>
      <c r="L1044" s="1" t="str">
        <f>"U21"</f>
        <v>U21</v>
      </c>
      <c r="M1044" s="1" t="str">
        <f t="shared" si="153"/>
        <v>-73</v>
      </c>
      <c r="N1044" s="1" t="str">
        <f>""</f>
        <v/>
      </c>
      <c r="O1044" s="1">
        <v>1</v>
      </c>
      <c r="P1044" s="1"/>
      <c r="Q1044" t="s">
        <v>317</v>
      </c>
    </row>
    <row r="1045" spans="1:17" x14ac:dyDescent="0.25">
      <c r="A1045" t="str">
        <f>"2018-10-19 13:15:56"</f>
        <v>2018-10-19 13:15:56</v>
      </c>
      <c r="B1045" s="1" t="str">
        <f>""</f>
        <v/>
      </c>
      <c r="C1045" s="1" t="str">
        <f>"Académie de Judo de Sept-Iles Inc."</f>
        <v>Académie de Judo de Sept-Iles Inc.</v>
      </c>
      <c r="D1045" s="1" t="str">
        <f>"QC"</f>
        <v>QC</v>
      </c>
      <c r="E1045" s="1" t="str">
        <f>"Quebec"</f>
        <v>Quebec</v>
      </c>
      <c r="F1045" s="1" t="str">
        <f>"Félix"</f>
        <v>Félix</v>
      </c>
      <c r="G1045" s="1" t="str">
        <f>"Poirier"</f>
        <v>Poirier</v>
      </c>
      <c r="H1045" s="1" t="str">
        <f>"0145857"</f>
        <v>0145857</v>
      </c>
      <c r="I1045" s="1" t="str">
        <f t="shared" si="152"/>
        <v>M</v>
      </c>
      <c r="J1045" s="2">
        <v>2001</v>
      </c>
      <c r="K1045" s="1" t="str">
        <f>"2k"</f>
        <v>2k</v>
      </c>
      <c r="L1045" s="1" t="str">
        <f>"U21"</f>
        <v>U21</v>
      </c>
      <c r="M1045" s="1" t="str">
        <f t="shared" si="153"/>
        <v>-73</v>
      </c>
      <c r="N1045" s="1" t="str">
        <f>""</f>
        <v/>
      </c>
      <c r="O1045" s="1">
        <v>1</v>
      </c>
      <c r="P1045" s="1"/>
      <c r="Q1045" t="s">
        <v>317</v>
      </c>
    </row>
    <row r="1046" spans="1:17" x14ac:dyDescent="0.25">
      <c r="A1046" t="str">
        <f>"2018-10-25 16:17:58"</f>
        <v>2018-10-25 16:17:58</v>
      </c>
      <c r="B1046" s="1" t="str">
        <f>""</f>
        <v/>
      </c>
      <c r="C1046" s="1" t="str">
        <f>"Atlantic Training Center"</f>
        <v>Atlantic Training Center</v>
      </c>
      <c r="D1046" s="1" t="str">
        <f>"NS"</f>
        <v>NS</v>
      </c>
      <c r="E1046" s="1" t="str">
        <f>"Nova Scotia"</f>
        <v>Nova Scotia</v>
      </c>
      <c r="F1046" s="1" t="str">
        <f>"Max"</f>
        <v>Max</v>
      </c>
      <c r="G1046" s="1" t="str">
        <f>"Teeuwen"</f>
        <v>Teeuwen</v>
      </c>
      <c r="H1046" s="1" t="str">
        <f>"0174868"</f>
        <v>0174868</v>
      </c>
      <c r="I1046" s="1" t="str">
        <f t="shared" si="152"/>
        <v>M</v>
      </c>
      <c r="J1046" s="2">
        <v>1999</v>
      </c>
      <c r="K1046" s="1" t="str">
        <f>"1D"</f>
        <v>1D</v>
      </c>
      <c r="L1046" s="1" t="s">
        <v>129</v>
      </c>
      <c r="M1046" s="1" t="str">
        <f t="shared" si="153"/>
        <v>-73</v>
      </c>
      <c r="N1046" s="1" t="str">
        <f>"-73kg"</f>
        <v>-73kg</v>
      </c>
      <c r="O1046" s="1">
        <v>2</v>
      </c>
      <c r="P1046" s="1"/>
      <c r="Q1046" t="s">
        <v>317</v>
      </c>
    </row>
    <row r="1047" spans="1:17" x14ac:dyDescent="0.25">
      <c r="A1047" t="str">
        <f>"2018-10-19 13:15:56"</f>
        <v>2018-10-19 13:15:56</v>
      </c>
      <c r="B1047" s="1" t="str">
        <f>""</f>
        <v/>
      </c>
      <c r="C1047" s="1" t="str">
        <f>"Club de Judo et de Ju-Jitsu Juvaldo inc."</f>
        <v>Club de Judo et de Ju-Jitsu Juvaldo inc.</v>
      </c>
      <c r="D1047" s="1" t="str">
        <f>"QC"</f>
        <v>QC</v>
      </c>
      <c r="E1047" s="1" t="str">
        <f>"Quebec"</f>
        <v>Quebec</v>
      </c>
      <c r="F1047" s="1" t="str">
        <f>"Louka"</f>
        <v>Louka</v>
      </c>
      <c r="G1047" s="1" t="str">
        <f>"Vallière"</f>
        <v>Vallière</v>
      </c>
      <c r="H1047" s="1" t="str">
        <f>"0175413"</f>
        <v>0175413</v>
      </c>
      <c r="I1047" s="1" t="str">
        <f t="shared" si="152"/>
        <v>M</v>
      </c>
      <c r="J1047" s="2">
        <v>2001</v>
      </c>
      <c r="K1047" s="1" t="str">
        <f>"1k"</f>
        <v>1k</v>
      </c>
      <c r="L1047" s="1" t="s">
        <v>129</v>
      </c>
      <c r="M1047" s="1" t="str">
        <f t="shared" si="153"/>
        <v>-73</v>
      </c>
      <c r="N1047" s="1" t="str">
        <f>""</f>
        <v/>
      </c>
      <c r="O1047" s="1">
        <v>2</v>
      </c>
      <c r="P1047" s="1"/>
      <c r="Q1047" t="s">
        <v>317</v>
      </c>
    </row>
    <row r="1048" spans="1:17" x14ac:dyDescent="0.25">
      <c r="A1048" t="str">
        <f>"2018-10-23 07:13:48"</f>
        <v>2018-10-23 07:13:48</v>
      </c>
      <c r="B1048" s="1" t="str">
        <f>""</f>
        <v/>
      </c>
      <c r="C1048" s="1" t="str">
        <f>"Rikidokan Judo Club"</f>
        <v>Rikidokan Judo Club</v>
      </c>
      <c r="D1048" s="1" t="str">
        <f>"PE"</f>
        <v>PE</v>
      </c>
      <c r="E1048" s="1" t="str">
        <f>"Prince Edward Island"</f>
        <v>Prince Edward Island</v>
      </c>
      <c r="F1048" s="1" t="str">
        <f>"Braeden"</f>
        <v>Braeden</v>
      </c>
      <c r="G1048" s="1" t="str">
        <f>"Woodford"</f>
        <v>Woodford</v>
      </c>
      <c r="H1048" s="1" t="str">
        <f>"0224604"</f>
        <v>0224604</v>
      </c>
      <c r="I1048" s="1" t="str">
        <f t="shared" si="152"/>
        <v>M</v>
      </c>
      <c r="J1048" s="2">
        <v>2001</v>
      </c>
      <c r="K1048" s="1" t="str">
        <f>"2k"</f>
        <v>2k</v>
      </c>
      <c r="L1048" s="1" t="str">
        <f>"U21"</f>
        <v>U21</v>
      </c>
      <c r="M1048" s="1" t="str">
        <f t="shared" si="153"/>
        <v>-73</v>
      </c>
      <c r="N1048" s="1" t="str">
        <f>""</f>
        <v/>
      </c>
      <c r="O1048" s="1">
        <v>1</v>
      </c>
      <c r="P1048" s="1"/>
      <c r="Q1048" t="s">
        <v>317</v>
      </c>
    </row>
    <row r="1049" spans="1:17" x14ac:dyDescent="0.25">
      <c r="A1049" t="str">
        <f>"2018-10-22 16:08:20"</f>
        <v>2018-10-22 16:08:20</v>
      </c>
      <c r="B1049" s="1" t="str">
        <f>""</f>
        <v/>
      </c>
      <c r="C1049" s="1" t="str">
        <f>"AJAX Budokan"</f>
        <v>AJAX Budokan</v>
      </c>
      <c r="D1049" s="1" t="str">
        <f>"ON"</f>
        <v>ON</v>
      </c>
      <c r="E1049" s="1" t="str">
        <f>"Ontario"</f>
        <v>Ontario</v>
      </c>
      <c r="F1049" s="1" t="str">
        <f>"Keagan"</f>
        <v>Keagan</v>
      </c>
      <c r="G1049" s="1" t="str">
        <f>"Young"</f>
        <v>Young</v>
      </c>
      <c r="H1049" s="1" t="str">
        <f>"0141626"</f>
        <v>0141626</v>
      </c>
      <c r="I1049" s="1" t="str">
        <f t="shared" si="152"/>
        <v>M</v>
      </c>
      <c r="J1049" s="2">
        <v>2001</v>
      </c>
      <c r="K1049" s="1" t="str">
        <f>"1D"</f>
        <v>1D</v>
      </c>
      <c r="L1049" s="1" t="s">
        <v>129</v>
      </c>
      <c r="M1049" s="1" t="str">
        <f t="shared" si="153"/>
        <v>-73</v>
      </c>
      <c r="N1049" s="1" t="str">
        <f>""</f>
        <v/>
      </c>
      <c r="O1049" s="1">
        <v>2</v>
      </c>
      <c r="P1049" s="1"/>
      <c r="Q1049" t="s">
        <v>317</v>
      </c>
    </row>
    <row r="1050" spans="1:17" x14ac:dyDescent="0.25">
      <c r="A1050" t="str">
        <f>"2018-10-19 15:32:43"</f>
        <v>2018-10-19 15:32:43</v>
      </c>
      <c r="B1050" s="1" t="str">
        <f>""</f>
        <v/>
      </c>
      <c r="C1050" s="4" t="str">
        <f>"Académie de Judo de Sept-Iles Inc."</f>
        <v>Académie de Judo de Sept-Iles Inc.</v>
      </c>
      <c r="D1050" s="4" t="str">
        <f>"QC"</f>
        <v>QC</v>
      </c>
      <c r="E1050" s="4" t="str">
        <f>"Quebec"</f>
        <v>Quebec</v>
      </c>
      <c r="F1050" s="4" t="str">
        <f>"Josie-Anne"</f>
        <v>Josie-Anne</v>
      </c>
      <c r="G1050" s="4" t="str">
        <f>"Synott"</f>
        <v>Synott</v>
      </c>
      <c r="H1050" s="4" t="str">
        <f>"0212183"</f>
        <v>0212183</v>
      </c>
      <c r="I1050" s="4" t="str">
        <f>"F"</f>
        <v>F</v>
      </c>
      <c r="J1050" s="5">
        <v>2001</v>
      </c>
      <c r="K1050" s="4" t="str">
        <f>"1D"</f>
        <v>1D</v>
      </c>
      <c r="L1050" s="4" t="s">
        <v>129</v>
      </c>
      <c r="M1050" s="4" t="str">
        <f>"-78"</f>
        <v>-78</v>
      </c>
      <c r="N1050" s="4" t="str">
        <f>""</f>
        <v/>
      </c>
      <c r="O1050" s="4">
        <v>2</v>
      </c>
      <c r="P1050" s="1" t="s">
        <v>143</v>
      </c>
      <c r="Q1050" t="s">
        <v>144</v>
      </c>
    </row>
    <row r="1051" spans="1:17" x14ac:dyDescent="0.25">
      <c r="B1051" s="1" t="str">
        <f>""</f>
        <v/>
      </c>
      <c r="C1051" s="1" t="str">
        <f>"Jason Morris Judo Center"</f>
        <v>Jason Morris Judo Center</v>
      </c>
      <c r="D1051" s="1" t="s">
        <v>106</v>
      </c>
      <c r="E1051" s="1" t="str">
        <f>"New York"</f>
        <v>New York</v>
      </c>
      <c r="F1051" s="1" t="str">
        <f>"Maxwell"</f>
        <v>Maxwell</v>
      </c>
      <c r="G1051" s="1" t="str">
        <f>"Alaynick"</f>
        <v>Alaynick</v>
      </c>
      <c r="H1051" s="1" t="str">
        <f>"AutreFederation"</f>
        <v>AutreFederation</v>
      </c>
      <c r="I1051" s="1" t="str">
        <f t="shared" ref="I1051:I1079" si="154">"M"</f>
        <v>M</v>
      </c>
      <c r="J1051" s="2">
        <v>2000</v>
      </c>
      <c r="K1051" s="1" t="str">
        <f>"1D"</f>
        <v>1D</v>
      </c>
      <c r="L1051" s="1" t="s">
        <v>129</v>
      </c>
      <c r="M1051" s="1" t="str">
        <f t="shared" ref="M1051:M1056" si="155">"-81"</f>
        <v>-81</v>
      </c>
      <c r="N1051" s="1" t="str">
        <f>""</f>
        <v/>
      </c>
      <c r="O1051" s="1">
        <v>2</v>
      </c>
      <c r="P1051" s="1"/>
      <c r="Q1051" t="s">
        <v>318</v>
      </c>
    </row>
    <row r="1052" spans="1:17" x14ac:dyDescent="0.25">
      <c r="B1052" s="1" t="str">
        <f>""</f>
        <v/>
      </c>
      <c r="C1052" s="1" t="str">
        <f>"Club de judo Shidokan inc."</f>
        <v>Club de judo Shidokan inc.</v>
      </c>
      <c r="D1052" s="1" t="str">
        <f>"QC"</f>
        <v>QC</v>
      </c>
      <c r="E1052" s="1" t="str">
        <f>"Quebec"</f>
        <v>Quebec</v>
      </c>
      <c r="F1052" s="1" t="str">
        <f>"Alexandre"</f>
        <v>Alexandre</v>
      </c>
      <c r="G1052" s="1" t="str">
        <f>"Arencibia"</f>
        <v>Arencibia</v>
      </c>
      <c r="H1052" s="1" t="str">
        <f>"0137705"</f>
        <v>0137705</v>
      </c>
      <c r="I1052" s="1" t="str">
        <f t="shared" si="154"/>
        <v>M</v>
      </c>
      <c r="J1052" s="2">
        <v>2001</v>
      </c>
      <c r="K1052" s="1" t="str">
        <f>"2D"</f>
        <v>2D</v>
      </c>
      <c r="L1052" s="1" t="s">
        <v>129</v>
      </c>
      <c r="M1052" s="1" t="str">
        <f t="shared" si="155"/>
        <v>-81</v>
      </c>
      <c r="N1052" s="1" t="str">
        <f>"-81"</f>
        <v>-81</v>
      </c>
      <c r="O1052" s="1">
        <v>2</v>
      </c>
      <c r="P1052" s="1"/>
      <c r="Q1052" t="s">
        <v>318</v>
      </c>
    </row>
    <row r="1053" spans="1:17" x14ac:dyDescent="0.25">
      <c r="B1053" s="1" t="str">
        <f>""</f>
        <v/>
      </c>
      <c r="C1053" s="1" t="str">
        <f>"Club de judo Shidokan inc."</f>
        <v>Club de judo Shidokan inc.</v>
      </c>
      <c r="D1053" s="1" t="str">
        <f>"QC"</f>
        <v>QC</v>
      </c>
      <c r="E1053" s="1" t="str">
        <f>"Quebec"</f>
        <v>Quebec</v>
      </c>
      <c r="F1053" s="1" t="str">
        <f>"Boris"</f>
        <v>Boris</v>
      </c>
      <c r="G1053" s="1" t="str">
        <f>"Bergeron"</f>
        <v>Bergeron</v>
      </c>
      <c r="H1053" s="1" t="str">
        <f>"0151192"</f>
        <v>0151192</v>
      </c>
      <c r="I1053" s="1" t="str">
        <f t="shared" si="154"/>
        <v>M</v>
      </c>
      <c r="J1053" s="2">
        <v>2001</v>
      </c>
      <c r="K1053" s="1" t="str">
        <f>"1k"</f>
        <v>1k</v>
      </c>
      <c r="L1053" s="1" t="str">
        <f>"U21"</f>
        <v>U21</v>
      </c>
      <c r="M1053" s="1" t="str">
        <f t="shared" si="155"/>
        <v>-81</v>
      </c>
      <c r="N1053" s="1" t="str">
        <f>""</f>
        <v/>
      </c>
      <c r="O1053" s="1">
        <v>1</v>
      </c>
      <c r="P1053" s="1"/>
      <c r="Q1053" t="s">
        <v>318</v>
      </c>
    </row>
    <row r="1054" spans="1:17" x14ac:dyDescent="0.25">
      <c r="B1054" s="1" t="str">
        <f>""</f>
        <v/>
      </c>
      <c r="C1054" s="1" t="str">
        <f>"Club de judo Shidokan inc."</f>
        <v>Club de judo Shidokan inc.</v>
      </c>
      <c r="D1054" s="1" t="str">
        <f>"QC"</f>
        <v>QC</v>
      </c>
      <c r="E1054" s="1" t="str">
        <f>"Quebec"</f>
        <v>Quebec</v>
      </c>
      <c r="F1054" s="1" t="str">
        <f>"Charles"</f>
        <v>Charles</v>
      </c>
      <c r="G1054" s="1" t="str">
        <f>"Bigaouette"</f>
        <v>Bigaouette</v>
      </c>
      <c r="H1054" s="1" t="str">
        <f>"0152543"</f>
        <v>0152543</v>
      </c>
      <c r="I1054" s="1" t="str">
        <f t="shared" si="154"/>
        <v>M</v>
      </c>
      <c r="J1054" s="2">
        <v>2000</v>
      </c>
      <c r="K1054" s="1" t="str">
        <f>"1k"</f>
        <v>1k</v>
      </c>
      <c r="L1054" s="1" t="str">
        <f>"U21"</f>
        <v>U21</v>
      </c>
      <c r="M1054" s="1" t="str">
        <f t="shared" si="155"/>
        <v>-81</v>
      </c>
      <c r="N1054" s="1" t="str">
        <f>""</f>
        <v/>
      </c>
      <c r="O1054" s="1">
        <v>1</v>
      </c>
      <c r="P1054" s="1"/>
      <c r="Q1054" t="s">
        <v>318</v>
      </c>
    </row>
    <row r="1055" spans="1:17" x14ac:dyDescent="0.25">
      <c r="B1055" s="1" t="str">
        <f>""</f>
        <v/>
      </c>
      <c r="C1055" s="1" t="str">
        <f>"Ottawa Judo Club"</f>
        <v>Ottawa Judo Club</v>
      </c>
      <c r="D1055" s="1" t="str">
        <f>"ON"</f>
        <v>ON</v>
      </c>
      <c r="E1055" s="1" t="str">
        <f>"Ontario"</f>
        <v>Ontario</v>
      </c>
      <c r="F1055" s="1" t="str">
        <f>"Alec"</f>
        <v>Alec</v>
      </c>
      <c r="G1055" s="1" t="str">
        <f>"Brillon"</f>
        <v>Brillon</v>
      </c>
      <c r="H1055" s="1" t="str">
        <f>"0194568"</f>
        <v>0194568</v>
      </c>
      <c r="I1055" s="1" t="str">
        <f t="shared" si="154"/>
        <v>M</v>
      </c>
      <c r="J1055" s="2">
        <v>2000</v>
      </c>
      <c r="K1055" s="1" t="str">
        <f>"1k"</f>
        <v>1k</v>
      </c>
      <c r="L1055" s="1" t="str">
        <f>"U21"</f>
        <v>U21</v>
      </c>
      <c r="M1055" s="1" t="str">
        <f t="shared" si="155"/>
        <v>-81</v>
      </c>
      <c r="N1055" s="1" t="str">
        <f>""</f>
        <v/>
      </c>
      <c r="O1055" s="1">
        <v>1</v>
      </c>
      <c r="P1055" s="1"/>
      <c r="Q1055" t="s">
        <v>318</v>
      </c>
    </row>
    <row r="1056" spans="1:17" x14ac:dyDescent="0.25">
      <c r="B1056" s="1" t="str">
        <f>""</f>
        <v/>
      </c>
      <c r="C1056" s="1" t="str">
        <f>"Club de judo St-Paul l'Ermite"</f>
        <v>Club de judo St-Paul l'Ermite</v>
      </c>
      <c r="D1056" s="1" t="str">
        <f>"QC"</f>
        <v>QC</v>
      </c>
      <c r="E1056" s="1" t="str">
        <f>"Quebec"</f>
        <v>Quebec</v>
      </c>
      <c r="F1056" s="1" t="str">
        <f>"Franko"</f>
        <v>Franko</v>
      </c>
      <c r="G1056" s="1" t="str">
        <f>"Carvajal"</f>
        <v>Carvajal</v>
      </c>
      <c r="H1056" s="1" t="str">
        <f>"0221122"</f>
        <v>0221122</v>
      </c>
      <c r="I1056" s="1" t="str">
        <f t="shared" si="154"/>
        <v>M</v>
      </c>
      <c r="J1056" s="2">
        <v>2000</v>
      </c>
      <c r="K1056" s="1" t="str">
        <f>"2k"</f>
        <v>2k</v>
      </c>
      <c r="L1056" s="1" t="str">
        <f>"U21"</f>
        <v>U21</v>
      </c>
      <c r="M1056" s="1" t="str">
        <f t="shared" si="155"/>
        <v>-81</v>
      </c>
      <c r="N1056" s="1" t="str">
        <f>""</f>
        <v/>
      </c>
      <c r="O1056" s="1">
        <v>1</v>
      </c>
      <c r="P1056" s="1"/>
      <c r="Q1056" t="s">
        <v>318</v>
      </c>
    </row>
    <row r="1057" spans="1:17" x14ac:dyDescent="0.25">
      <c r="A1057" t="str">
        <f>"2018-10-21 22:21:22"</f>
        <v>2018-10-21 22:21:22</v>
      </c>
      <c r="B1057" s="1" t="str">
        <f>""</f>
        <v/>
      </c>
      <c r="C1057" s="1" t="str">
        <f>"The Art Of Balance Dojo"</f>
        <v>The Art Of Balance Dojo</v>
      </c>
      <c r="D1057" s="1" t="str">
        <f>"ON"</f>
        <v>ON</v>
      </c>
      <c r="E1057" s="1" t="str">
        <f>"Ontario"</f>
        <v>Ontario</v>
      </c>
      <c r="F1057" s="1" t="str">
        <f>"Solomon"</f>
        <v>Solomon</v>
      </c>
      <c r="G1057" s="1" t="str">
        <f>"Choran"</f>
        <v>Choran</v>
      </c>
      <c r="H1057" s="1" t="str">
        <f>"0187149"</f>
        <v>0187149</v>
      </c>
      <c r="I1057" s="1" t="str">
        <f t="shared" si="154"/>
        <v>M</v>
      </c>
      <c r="J1057" s="2">
        <v>1999</v>
      </c>
      <c r="K1057" s="1" t="str">
        <f>"1k"</f>
        <v>1k</v>
      </c>
      <c r="L1057" s="1" t="s">
        <v>129</v>
      </c>
      <c r="M1057" s="8">
        <v>-81</v>
      </c>
      <c r="N1057" s="1" t="str">
        <f>""</f>
        <v/>
      </c>
      <c r="O1057" s="1">
        <v>2</v>
      </c>
      <c r="P1057" s="1"/>
      <c r="Q1057" t="s">
        <v>318</v>
      </c>
    </row>
    <row r="1058" spans="1:17" x14ac:dyDescent="0.25">
      <c r="A1058" t="str">
        <f>"2018-10-17 22:16:07"</f>
        <v>2018-10-17 22:16:07</v>
      </c>
      <c r="B1058" s="1" t="str">
        <f>""</f>
        <v/>
      </c>
      <c r="C1058" s="1" t="str">
        <f>"The Art Of Balance Dojo"</f>
        <v>The Art Of Balance Dojo</v>
      </c>
      <c r="D1058" s="1" t="str">
        <f>"ON"</f>
        <v>ON</v>
      </c>
      <c r="E1058" s="1" t="str">
        <f>"Canada"</f>
        <v>Canada</v>
      </c>
      <c r="F1058" s="1" t="str">
        <f>"Ron"</f>
        <v>Ron</v>
      </c>
      <c r="G1058" s="1" t="str">
        <f>"Hanji"</f>
        <v>Hanji</v>
      </c>
      <c r="H1058" s="1" t="str">
        <f>"0197055"</f>
        <v>0197055</v>
      </c>
      <c r="I1058" s="1" t="str">
        <f t="shared" si="154"/>
        <v>M</v>
      </c>
      <c r="J1058" s="2">
        <v>2001</v>
      </c>
      <c r="K1058" s="1" t="str">
        <f>"1D"</f>
        <v>1D</v>
      </c>
      <c r="L1058" s="1" t="s">
        <v>129</v>
      </c>
      <c r="M1058" s="1" t="str">
        <f t="shared" ref="M1058:M1066" si="156">"-81"</f>
        <v>-81</v>
      </c>
      <c r="N1058" s="1" t="str">
        <f>""</f>
        <v/>
      </c>
      <c r="O1058" s="1">
        <v>2</v>
      </c>
      <c r="P1058" s="1"/>
      <c r="Q1058" t="s">
        <v>318</v>
      </c>
    </row>
    <row r="1059" spans="1:17" x14ac:dyDescent="0.25">
      <c r="A1059" t="str">
        <f>"2018-10-14 18:26:25"</f>
        <v>2018-10-14 18:26:25</v>
      </c>
      <c r="B1059" s="1" t="str">
        <f>""</f>
        <v/>
      </c>
      <c r="C1059" s="1" t="str">
        <f>"Abbotsford Judo Club"</f>
        <v>Abbotsford Judo Club</v>
      </c>
      <c r="D1059" s="1" t="str">
        <f>"BC"</f>
        <v>BC</v>
      </c>
      <c r="E1059" s="1" t="str">
        <f>"British Columbia"</f>
        <v>British Columbia</v>
      </c>
      <c r="F1059" s="1" t="str">
        <f>"Payton"</f>
        <v>Payton</v>
      </c>
      <c r="G1059" s="1" t="str">
        <f>"Harris"</f>
        <v>Harris</v>
      </c>
      <c r="H1059" s="1" t="str">
        <f>"0173210"</f>
        <v>0173210</v>
      </c>
      <c r="I1059" s="1" t="str">
        <f t="shared" si="154"/>
        <v>M</v>
      </c>
      <c r="J1059" s="2">
        <v>2002</v>
      </c>
      <c r="K1059" s="1" t="str">
        <f>"1D"</f>
        <v>1D</v>
      </c>
      <c r="L1059" s="10" t="s">
        <v>129</v>
      </c>
      <c r="M1059" s="1" t="str">
        <f t="shared" si="156"/>
        <v>-81</v>
      </c>
      <c r="N1059" s="1" t="str">
        <f>""</f>
        <v/>
      </c>
      <c r="O1059" s="1">
        <v>2</v>
      </c>
      <c r="P1059" s="1"/>
      <c r="Q1059" t="s">
        <v>318</v>
      </c>
    </row>
    <row r="1060" spans="1:17" x14ac:dyDescent="0.25">
      <c r="B1060" s="1" t="str">
        <f>""</f>
        <v/>
      </c>
      <c r="C1060" s="1" t="str">
        <f>"Club Judokan Port Cartier"</f>
        <v>Club Judokan Port Cartier</v>
      </c>
      <c r="D1060" s="1" t="str">
        <f>"QC"</f>
        <v>QC</v>
      </c>
      <c r="E1060" s="1" t="str">
        <f>"Quebec"</f>
        <v>Quebec</v>
      </c>
      <c r="F1060" s="1" t="str">
        <f>"Jérémie"</f>
        <v>Jérémie</v>
      </c>
      <c r="G1060" s="1" t="str">
        <f>"Lapointe"</f>
        <v>Lapointe</v>
      </c>
      <c r="H1060" s="1" t="str">
        <f>"0162678"</f>
        <v>0162678</v>
      </c>
      <c r="I1060" s="1" t="str">
        <f t="shared" si="154"/>
        <v>M</v>
      </c>
      <c r="J1060" s="2">
        <v>2001</v>
      </c>
      <c r="K1060" s="1" t="str">
        <f>"1D"</f>
        <v>1D</v>
      </c>
      <c r="L1060" s="1" t="s">
        <v>129</v>
      </c>
      <c r="M1060" s="1" t="str">
        <f t="shared" si="156"/>
        <v>-81</v>
      </c>
      <c r="N1060" s="1" t="str">
        <f>"-81"</f>
        <v>-81</v>
      </c>
      <c r="O1060" s="1">
        <v>2</v>
      </c>
      <c r="P1060" s="1"/>
      <c r="Q1060" t="s">
        <v>318</v>
      </c>
    </row>
    <row r="1061" spans="1:17" x14ac:dyDescent="0.25">
      <c r="A1061" t="str">
        <f>"2018-10-22 23:17:42"</f>
        <v>2018-10-22 23:17:42</v>
      </c>
      <c r="B1061" s="1" t="str">
        <f>""</f>
        <v/>
      </c>
      <c r="C1061" s="1" t="str">
        <f>"Judo Alberta"</f>
        <v>Judo Alberta</v>
      </c>
      <c r="D1061" s="1" t="str">
        <f>"AB"</f>
        <v>AB</v>
      </c>
      <c r="E1061" s="1" t="str">
        <f>"Alberta"</f>
        <v>Alberta</v>
      </c>
      <c r="F1061" s="1" t="str">
        <f>"Mckenzie"</f>
        <v>Mckenzie</v>
      </c>
      <c r="G1061" s="1" t="str">
        <f>"Morgan"</f>
        <v>Morgan</v>
      </c>
      <c r="H1061" s="1" t="str">
        <f>"0162808"</f>
        <v>0162808</v>
      </c>
      <c r="I1061" s="1" t="str">
        <f t="shared" si="154"/>
        <v>M</v>
      </c>
      <c r="J1061" s="2">
        <v>1999</v>
      </c>
      <c r="K1061" s="1" t="str">
        <f>"1D"</f>
        <v>1D</v>
      </c>
      <c r="L1061" s="1" t="s">
        <v>129</v>
      </c>
      <c r="M1061" s="1" t="str">
        <f t="shared" si="156"/>
        <v>-81</v>
      </c>
      <c r="N1061" s="1" t="str">
        <f>"-81kg"</f>
        <v>-81kg</v>
      </c>
      <c r="O1061" s="1">
        <v>2</v>
      </c>
      <c r="P1061" s="1"/>
      <c r="Q1061" t="s">
        <v>318</v>
      </c>
    </row>
    <row r="1062" spans="1:17" x14ac:dyDescent="0.25">
      <c r="B1062" s="1" t="str">
        <f>""</f>
        <v/>
      </c>
      <c r="C1062" s="1" t="str">
        <f>"Club de judo Métropolitain inc."</f>
        <v>Club de judo Métropolitain inc.</v>
      </c>
      <c r="D1062" s="1" t="str">
        <f>"QC"</f>
        <v>QC</v>
      </c>
      <c r="E1062" s="1" t="str">
        <f>"Quebec"</f>
        <v>Quebec</v>
      </c>
      <c r="F1062" s="1" t="str">
        <f>"Martin"</f>
        <v>Martin</v>
      </c>
      <c r="G1062" s="1" t="str">
        <f>"Penchev"</f>
        <v>Penchev</v>
      </c>
      <c r="H1062" s="1" t="str">
        <f>"0148074"</f>
        <v>0148074</v>
      </c>
      <c r="I1062" s="1" t="str">
        <f t="shared" si="154"/>
        <v>M</v>
      </c>
      <c r="J1062" s="2">
        <v>2001</v>
      </c>
      <c r="K1062" s="1" t="str">
        <f>"1D"</f>
        <v>1D</v>
      </c>
      <c r="L1062" s="1" t="s">
        <v>129</v>
      </c>
      <c r="M1062" s="1" t="str">
        <f t="shared" si="156"/>
        <v>-81</v>
      </c>
      <c r="N1062" s="1" t="str">
        <f>""</f>
        <v/>
      </c>
      <c r="O1062" s="1">
        <v>2</v>
      </c>
      <c r="P1062" s="1"/>
      <c r="Q1062" t="s">
        <v>318</v>
      </c>
    </row>
    <row r="1063" spans="1:17" x14ac:dyDescent="0.25">
      <c r="A1063" t="str">
        <f>"2018-10-22 23:17:42"</f>
        <v>2018-10-22 23:17:42</v>
      </c>
      <c r="B1063" s="1" t="str">
        <f>""</f>
        <v/>
      </c>
      <c r="C1063" s="1" t="str">
        <f>"Académie de Judo de Sept-Iles Inc."</f>
        <v>Académie de Judo de Sept-Iles Inc.</v>
      </c>
      <c r="D1063" s="1" t="s">
        <v>164</v>
      </c>
      <c r="E1063" s="1" t="str">
        <f>"bresil"</f>
        <v>bresil</v>
      </c>
      <c r="F1063" s="1" t="str">
        <f>"Vinicius"</f>
        <v>Vinicius</v>
      </c>
      <c r="G1063" s="1" t="str">
        <f>"Pereira Dagnino"</f>
        <v>Pereira Dagnino</v>
      </c>
      <c r="H1063" s="1" t="str">
        <f>"AutreFederation"</f>
        <v>AutreFederation</v>
      </c>
      <c r="I1063" s="1" t="str">
        <f t="shared" si="154"/>
        <v>M</v>
      </c>
      <c r="J1063" s="2">
        <v>2000</v>
      </c>
      <c r="K1063" s="1" t="str">
        <f>"1k"</f>
        <v>1k</v>
      </c>
      <c r="L1063" s="1" t="str">
        <f>"U21"</f>
        <v>U21</v>
      </c>
      <c r="M1063" s="1" t="str">
        <f t="shared" si="156"/>
        <v>-81</v>
      </c>
      <c r="N1063" s="1" t="str">
        <f>""</f>
        <v/>
      </c>
      <c r="O1063" s="1">
        <v>1</v>
      </c>
      <c r="P1063" s="1"/>
      <c r="Q1063" t="s">
        <v>318</v>
      </c>
    </row>
    <row r="1064" spans="1:17" x14ac:dyDescent="0.25">
      <c r="A1064" t="str">
        <f>"2018-10-15 09:13:15"</f>
        <v>2018-10-15 09:13:15</v>
      </c>
      <c r="B1064" s="1" t="str">
        <f>""</f>
        <v/>
      </c>
      <c r="C1064" s="1" t="str">
        <f>"Lethbridge Kyodokan Judo Club"</f>
        <v>Lethbridge Kyodokan Judo Club</v>
      </c>
      <c r="D1064" s="1" t="str">
        <f>"AB"</f>
        <v>AB</v>
      </c>
      <c r="E1064" s="1" t="str">
        <f>"Alberta"</f>
        <v>Alberta</v>
      </c>
      <c r="F1064" s="1" t="str">
        <f>"Zachary"</f>
        <v>Zachary</v>
      </c>
      <c r="G1064" s="1" t="str">
        <f>"Render"</f>
        <v>Render</v>
      </c>
      <c r="H1064" s="1" t="str">
        <f>"0184088"</f>
        <v>0184088</v>
      </c>
      <c r="I1064" s="1" t="str">
        <f t="shared" si="154"/>
        <v>M</v>
      </c>
      <c r="J1064" s="2">
        <v>2001</v>
      </c>
      <c r="K1064" s="1" t="str">
        <f>"1k"</f>
        <v>1k</v>
      </c>
      <c r="L1064" s="1" t="str">
        <f>"U21"</f>
        <v>U21</v>
      </c>
      <c r="M1064" s="1" t="str">
        <f t="shared" si="156"/>
        <v>-81</v>
      </c>
      <c r="N1064" s="1" t="str">
        <f>""</f>
        <v/>
      </c>
      <c r="O1064" s="1">
        <v>1</v>
      </c>
      <c r="P1064" s="1"/>
      <c r="Q1064" t="s">
        <v>318</v>
      </c>
    </row>
    <row r="1065" spans="1:17" x14ac:dyDescent="0.25">
      <c r="B1065" s="1" t="str">
        <f>""</f>
        <v/>
      </c>
      <c r="C1065" s="1" t="str">
        <f>"Shin Bu Kan"</f>
        <v>Shin Bu Kan</v>
      </c>
      <c r="D1065" s="1" t="str">
        <f>"ON"</f>
        <v>ON</v>
      </c>
      <c r="E1065" s="1" t="str">
        <f>"Ontario"</f>
        <v>Ontario</v>
      </c>
      <c r="F1065" s="1" t="str">
        <f>"Tomasz"</f>
        <v>Tomasz</v>
      </c>
      <c r="G1065" s="1" t="str">
        <f>"Szecowka"</f>
        <v>Szecowka</v>
      </c>
      <c r="H1065" s="1" t="str">
        <f>"0185114"</f>
        <v>0185114</v>
      </c>
      <c r="I1065" s="1" t="str">
        <f t="shared" si="154"/>
        <v>M</v>
      </c>
      <c r="J1065" s="2">
        <v>2001</v>
      </c>
      <c r="K1065" s="1" t="str">
        <f>"1k"</f>
        <v>1k</v>
      </c>
      <c r="L1065" s="1" t="str">
        <f>"U21"</f>
        <v>U21</v>
      </c>
      <c r="M1065" s="1" t="str">
        <f t="shared" si="156"/>
        <v>-81</v>
      </c>
      <c r="N1065" s="1" t="str">
        <f>""</f>
        <v/>
      </c>
      <c r="O1065" s="1">
        <v>1</v>
      </c>
      <c r="P1065" s="1"/>
      <c r="Q1065" t="s">
        <v>318</v>
      </c>
    </row>
    <row r="1066" spans="1:17" x14ac:dyDescent="0.25">
      <c r="B1066" s="1" t="str">
        <f>""</f>
        <v/>
      </c>
      <c r="C1066" s="1" t="str">
        <f>"Jason Morris Judo Center"</f>
        <v>Jason Morris Judo Center</v>
      </c>
      <c r="D1066" s="1" t="s">
        <v>106</v>
      </c>
      <c r="E1066" s="1" t="str">
        <f>"United States"</f>
        <v>United States</v>
      </c>
      <c r="F1066" s="1" t="str">
        <f>"Nathaniel"</f>
        <v>Nathaniel</v>
      </c>
      <c r="G1066" s="1" t="str">
        <f>"Torres"</f>
        <v>Torres</v>
      </c>
      <c r="H1066" s="1" t="str">
        <f>"AutreFederation"</f>
        <v>AutreFederation</v>
      </c>
      <c r="I1066" s="1" t="str">
        <f t="shared" si="154"/>
        <v>M</v>
      </c>
      <c r="J1066" s="2">
        <v>1999</v>
      </c>
      <c r="K1066" s="1" t="str">
        <f>"1D"</f>
        <v>1D</v>
      </c>
      <c r="L1066" s="1" t="s">
        <v>129</v>
      </c>
      <c r="M1066" s="1" t="str">
        <f t="shared" si="156"/>
        <v>-81</v>
      </c>
      <c r="N1066" s="1" t="str">
        <f>"-81"</f>
        <v>-81</v>
      </c>
      <c r="O1066" s="1">
        <v>2</v>
      </c>
      <c r="P1066" s="1"/>
      <c r="Q1066" t="s">
        <v>318</v>
      </c>
    </row>
    <row r="1067" spans="1:17" x14ac:dyDescent="0.25">
      <c r="B1067" s="1" t="str">
        <f>""</f>
        <v/>
      </c>
      <c r="C1067" s="1" t="str">
        <f>"Bushido"</f>
        <v>Bushido</v>
      </c>
      <c r="D1067" s="1" t="str">
        <f>"NB"</f>
        <v>NB</v>
      </c>
      <c r="E1067" s="1" t="str">
        <f>"New Brunswick"</f>
        <v>New Brunswick</v>
      </c>
      <c r="F1067" s="1" t="str">
        <f>"Brian"</f>
        <v>Brian</v>
      </c>
      <c r="G1067" s="1" t="str">
        <f>"Bonenfant"</f>
        <v>Bonenfant</v>
      </c>
      <c r="H1067" s="1" t="str">
        <f>"0147343"</f>
        <v>0147343</v>
      </c>
      <c r="I1067" s="1" t="str">
        <f t="shared" si="154"/>
        <v>M</v>
      </c>
      <c r="J1067" s="2">
        <v>1999</v>
      </c>
      <c r="K1067" s="1" t="str">
        <f>"2k"</f>
        <v>2k</v>
      </c>
      <c r="L1067" s="1" t="str">
        <f>"U21"</f>
        <v>U21</v>
      </c>
      <c r="M1067" s="1" t="str">
        <f t="shared" ref="M1067:M1077" si="157">"-90"</f>
        <v>-90</v>
      </c>
      <c r="N1067" s="1" t="str">
        <f>""</f>
        <v/>
      </c>
      <c r="O1067" s="1">
        <v>1</v>
      </c>
      <c r="P1067" s="1"/>
      <c r="Q1067" t="s">
        <v>319</v>
      </c>
    </row>
    <row r="1068" spans="1:17" x14ac:dyDescent="0.25">
      <c r="B1068" s="1" t="str">
        <f>""</f>
        <v/>
      </c>
      <c r="C1068" s="1" t="str">
        <f>"Club de judo de Varennes"</f>
        <v>Club de judo de Varennes</v>
      </c>
      <c r="D1068" s="1" t="str">
        <f>"QC"</f>
        <v>QC</v>
      </c>
      <c r="E1068" s="1" t="str">
        <f>"Quebec"</f>
        <v>Quebec</v>
      </c>
      <c r="F1068" s="1" t="str">
        <f>"Jérôme"</f>
        <v>Jérôme</v>
      </c>
      <c r="G1068" s="1" t="str">
        <f>"Champagne"</f>
        <v>Champagne</v>
      </c>
      <c r="H1068" s="1" t="str">
        <f>"0173008"</f>
        <v>0173008</v>
      </c>
      <c r="I1068" s="1" t="str">
        <f t="shared" si="154"/>
        <v>M</v>
      </c>
      <c r="J1068" s="2">
        <v>2001</v>
      </c>
      <c r="K1068" s="1" t="str">
        <f>"1k"</f>
        <v>1k</v>
      </c>
      <c r="L1068" s="1" t="s">
        <v>129</v>
      </c>
      <c r="M1068" s="1" t="str">
        <f t="shared" si="157"/>
        <v>-90</v>
      </c>
      <c r="N1068" s="1" t="str">
        <f>""</f>
        <v/>
      </c>
      <c r="O1068" s="1">
        <v>2</v>
      </c>
      <c r="P1068" s="1"/>
      <c r="Q1068" t="s">
        <v>319</v>
      </c>
    </row>
    <row r="1069" spans="1:17" x14ac:dyDescent="0.25">
      <c r="B1069" s="1" t="str">
        <f>""</f>
        <v/>
      </c>
      <c r="C1069" s="1" t="str">
        <f>"Club de judo Shidokan inc."</f>
        <v>Club de judo Shidokan inc.</v>
      </c>
      <c r="D1069" s="1" t="str">
        <f>"QC"</f>
        <v>QC</v>
      </c>
      <c r="E1069" s="1" t="str">
        <f>"Quebec"</f>
        <v>Quebec</v>
      </c>
      <c r="F1069" s="1" t="str">
        <f>"Abdeslbassat"</f>
        <v>Abdeslbassat</v>
      </c>
      <c r="G1069" s="1" t="str">
        <f>"Cherifi"</f>
        <v>Cherifi</v>
      </c>
      <c r="H1069" s="1" t="str">
        <f>"0239344"</f>
        <v>0239344</v>
      </c>
      <c r="I1069" s="1" t="str">
        <f t="shared" si="154"/>
        <v>M</v>
      </c>
      <c r="J1069" s="2">
        <v>1999</v>
      </c>
      <c r="K1069" s="1" t="str">
        <f>"1k"</f>
        <v>1k</v>
      </c>
      <c r="L1069" s="1" t="str">
        <f>"U21"</f>
        <v>U21</v>
      </c>
      <c r="M1069" s="1" t="str">
        <f t="shared" si="157"/>
        <v>-90</v>
      </c>
      <c r="N1069" s="1" t="str">
        <f>""</f>
        <v/>
      </c>
      <c r="O1069" s="1">
        <v>1</v>
      </c>
      <c r="P1069" s="1"/>
      <c r="Q1069" t="s">
        <v>319</v>
      </c>
    </row>
    <row r="1070" spans="1:17" x14ac:dyDescent="0.25">
      <c r="B1070" s="1" t="str">
        <f>""</f>
        <v/>
      </c>
      <c r="C1070" s="1" t="str">
        <f>"Club de judo Seïkidokan inc."</f>
        <v>Club de judo Seïkidokan inc.</v>
      </c>
      <c r="D1070" s="1" t="str">
        <f>"QC"</f>
        <v>QC</v>
      </c>
      <c r="E1070" s="1" t="str">
        <f>"Quebec"</f>
        <v>Quebec</v>
      </c>
      <c r="F1070" s="1" t="str">
        <f>"Nicolas"</f>
        <v>Nicolas</v>
      </c>
      <c r="G1070" s="1" t="str">
        <f>"Grandchamp"</f>
        <v>Grandchamp</v>
      </c>
      <c r="H1070" s="1" t="str">
        <f>"0196275"</f>
        <v>0196275</v>
      </c>
      <c r="I1070" s="1" t="str">
        <f t="shared" si="154"/>
        <v>M</v>
      </c>
      <c r="J1070" s="2">
        <v>2000</v>
      </c>
      <c r="K1070" s="1" t="str">
        <f>"1k"</f>
        <v>1k</v>
      </c>
      <c r="L1070" s="1" t="str">
        <f>"U21"</f>
        <v>U21</v>
      </c>
      <c r="M1070" s="1" t="str">
        <f t="shared" si="157"/>
        <v>-90</v>
      </c>
      <c r="N1070" s="1" t="str">
        <f>""</f>
        <v/>
      </c>
      <c r="O1070" s="1">
        <v>1</v>
      </c>
      <c r="P1070" s="1"/>
      <c r="Q1070" t="s">
        <v>319</v>
      </c>
    </row>
    <row r="1071" spans="1:17" x14ac:dyDescent="0.25">
      <c r="B1071" s="1" t="str">
        <f>""</f>
        <v/>
      </c>
      <c r="C1071" s="1" t="str">
        <f>"Club de Judo du CMR Saint-Jean"</f>
        <v>Club de Judo du CMR Saint-Jean</v>
      </c>
      <c r="D1071" s="1" t="str">
        <f>"QC"</f>
        <v>QC</v>
      </c>
      <c r="E1071" s="1" t="str">
        <f>"Quebec"</f>
        <v>Quebec</v>
      </c>
      <c r="F1071" s="1" t="str">
        <f>"Charles"</f>
        <v>Charles</v>
      </c>
      <c r="G1071" s="1" t="str">
        <f>"Joncas Roy"</f>
        <v>Joncas Roy</v>
      </c>
      <c r="H1071" s="1" t="str">
        <f>"0166225"</f>
        <v>0166225</v>
      </c>
      <c r="I1071" s="1" t="str">
        <f t="shared" si="154"/>
        <v>M</v>
      </c>
      <c r="J1071" s="2">
        <v>2001</v>
      </c>
      <c r="K1071" s="1" t="str">
        <f>"1k"</f>
        <v>1k</v>
      </c>
      <c r="L1071" s="1" t="str">
        <f>"U21"</f>
        <v>U21</v>
      </c>
      <c r="M1071" s="1" t="str">
        <f t="shared" si="157"/>
        <v>-90</v>
      </c>
      <c r="N1071" s="1" t="str">
        <f>""</f>
        <v/>
      </c>
      <c r="O1071" s="1">
        <v>1</v>
      </c>
      <c r="P1071" s="1"/>
      <c r="Q1071" t="s">
        <v>319</v>
      </c>
    </row>
    <row r="1072" spans="1:17" x14ac:dyDescent="0.25">
      <c r="B1072" s="1" t="str">
        <f>""</f>
        <v/>
      </c>
      <c r="C1072" s="1" t="str">
        <f>"Takahashi Dojo"</f>
        <v>Takahashi Dojo</v>
      </c>
      <c r="D1072" s="1" t="str">
        <f>"ON"</f>
        <v>ON</v>
      </c>
      <c r="E1072" s="1" t="str">
        <f>"Ontario"</f>
        <v>Ontario</v>
      </c>
      <c r="F1072" s="1" t="str">
        <f>"Benjamin"</f>
        <v>Benjamin</v>
      </c>
      <c r="G1072" s="1" t="str">
        <f>"Kendrick"</f>
        <v>Kendrick</v>
      </c>
      <c r="H1072" s="1" t="str">
        <f>"0138938"</f>
        <v>0138938</v>
      </c>
      <c r="I1072" s="1" t="str">
        <f t="shared" si="154"/>
        <v>M</v>
      </c>
      <c r="J1072" s="2">
        <v>2000</v>
      </c>
      <c r="K1072" s="1" t="str">
        <f>"2D"</f>
        <v>2D</v>
      </c>
      <c r="L1072" s="1" t="s">
        <v>129</v>
      </c>
      <c r="M1072" s="1" t="str">
        <f t="shared" si="157"/>
        <v>-90</v>
      </c>
      <c r="N1072" s="1" t="str">
        <f>""</f>
        <v/>
      </c>
      <c r="O1072" s="1">
        <v>2</v>
      </c>
      <c r="P1072" s="1"/>
      <c r="Q1072" t="s">
        <v>319</v>
      </c>
    </row>
    <row r="1073" spans="1:17" x14ac:dyDescent="0.25">
      <c r="B1073" s="1" t="str">
        <f>""</f>
        <v/>
      </c>
      <c r="C1073" s="1" t="str">
        <f>"Olympic Judo Centre"</f>
        <v>Olympic Judo Centre</v>
      </c>
      <c r="D1073" s="1" t="str">
        <f>"ON"</f>
        <v>ON</v>
      </c>
      <c r="E1073" s="1" t="str">
        <f>"Ontario"</f>
        <v>Ontario</v>
      </c>
      <c r="F1073" s="1" t="str">
        <f>"Luka"</f>
        <v>Luka</v>
      </c>
      <c r="G1073" s="1" t="str">
        <f>"Khatelishvili"</f>
        <v>Khatelishvili</v>
      </c>
      <c r="H1073" s="1" t="str">
        <f>"0017313"</f>
        <v>0017313</v>
      </c>
      <c r="I1073" s="1" t="str">
        <f t="shared" si="154"/>
        <v>M</v>
      </c>
      <c r="J1073" s="2">
        <v>2000</v>
      </c>
      <c r="K1073" s="1" t="str">
        <f>"1D"</f>
        <v>1D</v>
      </c>
      <c r="L1073" s="1" t="s">
        <v>129</v>
      </c>
      <c r="M1073" s="1" t="str">
        <f t="shared" si="157"/>
        <v>-90</v>
      </c>
      <c r="N1073" s="1" t="str">
        <f>""</f>
        <v/>
      </c>
      <c r="O1073" s="1">
        <v>2</v>
      </c>
      <c r="P1073" s="1"/>
      <c r="Q1073" t="s">
        <v>319</v>
      </c>
    </row>
    <row r="1074" spans="1:17" x14ac:dyDescent="0.25">
      <c r="B1074" s="1" t="str">
        <f>""</f>
        <v/>
      </c>
      <c r="C1074" s="1" t="str">
        <f>"Club Judokan Port Cartier"</f>
        <v>Club Judokan Port Cartier</v>
      </c>
      <c r="D1074" s="1" t="str">
        <f>"QC"</f>
        <v>QC</v>
      </c>
      <c r="E1074" s="1" t="str">
        <f>"Quebec"</f>
        <v>Quebec</v>
      </c>
      <c r="F1074" s="1" t="str">
        <f>"Nicolas"</f>
        <v>Nicolas</v>
      </c>
      <c r="G1074" s="1" t="str">
        <f>"Levesque Lessard"</f>
        <v>Levesque Lessard</v>
      </c>
      <c r="H1074" s="1" t="str">
        <f>"0208174"</f>
        <v>0208174</v>
      </c>
      <c r="I1074" s="1" t="str">
        <f t="shared" si="154"/>
        <v>M</v>
      </c>
      <c r="J1074" s="2">
        <v>2001</v>
      </c>
      <c r="K1074" s="1" t="str">
        <f>"1k"</f>
        <v>1k</v>
      </c>
      <c r="L1074" s="1" t="s">
        <v>129</v>
      </c>
      <c r="M1074" s="1" t="str">
        <f t="shared" si="157"/>
        <v>-90</v>
      </c>
      <c r="N1074" s="1" t="str">
        <f>""</f>
        <v/>
      </c>
      <c r="O1074" s="1">
        <v>2</v>
      </c>
      <c r="P1074" s="1"/>
      <c r="Q1074" t="s">
        <v>319</v>
      </c>
    </row>
    <row r="1075" spans="1:17" x14ac:dyDescent="0.25">
      <c r="B1075" s="1" t="str">
        <f>""</f>
        <v/>
      </c>
      <c r="C1075" s="1" t="str">
        <f>"Steveston Judo Club"</f>
        <v>Steveston Judo Club</v>
      </c>
      <c r="D1075" s="1" t="str">
        <f>"BC"</f>
        <v>BC</v>
      </c>
      <c r="E1075" s="1" t="str">
        <f>"British Columbia"</f>
        <v>British Columbia</v>
      </c>
      <c r="F1075" s="1" t="str">
        <f>"Ian"</f>
        <v>Ian</v>
      </c>
      <c r="G1075" s="1" t="str">
        <f>"Ryder"</f>
        <v>Ryder</v>
      </c>
      <c r="H1075" s="1" t="str">
        <f>"0154044"</f>
        <v>0154044</v>
      </c>
      <c r="I1075" s="1" t="str">
        <f t="shared" si="154"/>
        <v>M</v>
      </c>
      <c r="J1075" s="2">
        <v>2001</v>
      </c>
      <c r="K1075" s="1" t="str">
        <f>"1D"</f>
        <v>1D</v>
      </c>
      <c r="L1075" s="1" t="s">
        <v>129</v>
      </c>
      <c r="M1075" s="1" t="str">
        <f t="shared" si="157"/>
        <v>-90</v>
      </c>
      <c r="N1075" s="1" t="str">
        <f>""</f>
        <v/>
      </c>
      <c r="O1075" s="1">
        <v>2</v>
      </c>
      <c r="P1075" s="1"/>
      <c r="Q1075" t="s">
        <v>319</v>
      </c>
    </row>
    <row r="1076" spans="1:17" x14ac:dyDescent="0.25">
      <c r="B1076" s="1" t="str">
        <f>""</f>
        <v/>
      </c>
      <c r="C1076" s="1" t="str">
        <f>"Sasaki Judo"</f>
        <v>Sasaki Judo</v>
      </c>
      <c r="D1076" s="1" t="s">
        <v>106</v>
      </c>
      <c r="E1076" s="1" t="str">
        <f>"Florida"</f>
        <v>Florida</v>
      </c>
      <c r="F1076" s="1" t="str">
        <f>"Jeff"</f>
        <v>Jeff</v>
      </c>
      <c r="G1076" s="1" t="str">
        <f>"Stout"</f>
        <v>Stout</v>
      </c>
      <c r="H1076" s="1" t="str">
        <f>"AutreFederation"</f>
        <v>AutreFederation</v>
      </c>
      <c r="I1076" s="1" t="str">
        <f t="shared" si="154"/>
        <v>M</v>
      </c>
      <c r="J1076" s="2">
        <v>1999</v>
      </c>
      <c r="K1076" s="1" t="str">
        <f>"1D"</f>
        <v>1D</v>
      </c>
      <c r="L1076" s="1" t="str">
        <f>"U21"</f>
        <v>U21</v>
      </c>
      <c r="M1076" s="1" t="str">
        <f t="shared" si="157"/>
        <v>-90</v>
      </c>
      <c r="N1076" s="1" t="str">
        <f>""</f>
        <v/>
      </c>
      <c r="O1076" s="1">
        <v>1</v>
      </c>
      <c r="P1076" s="1"/>
      <c r="Q1076" t="s">
        <v>319</v>
      </c>
    </row>
    <row r="1077" spans="1:17" x14ac:dyDescent="0.25">
      <c r="B1077" s="1" t="str">
        <f>""</f>
        <v/>
      </c>
      <c r="C1077" s="1" t="str">
        <f>"Kodokwai Judo Club"</f>
        <v>Kodokwai Judo Club</v>
      </c>
      <c r="D1077" s="1" t="str">
        <f>"AB"</f>
        <v>AB</v>
      </c>
      <c r="E1077" s="1" t="str">
        <f>"Alberta"</f>
        <v>Alberta</v>
      </c>
      <c r="F1077" s="1" t="str">
        <f>"Sasha"</f>
        <v>Sasha</v>
      </c>
      <c r="G1077" s="1" t="str">
        <f>"Tanasiuk"</f>
        <v>Tanasiuk</v>
      </c>
      <c r="H1077" s="1" t="str">
        <f>"0209156"</f>
        <v>0209156</v>
      </c>
      <c r="I1077" s="1" t="str">
        <f t="shared" si="154"/>
        <v>M</v>
      </c>
      <c r="J1077" s="2">
        <v>2001</v>
      </c>
      <c r="K1077" s="1" t="str">
        <f>"3k"</f>
        <v>3k</v>
      </c>
      <c r="L1077" s="1" t="str">
        <f>"U21"</f>
        <v>U21</v>
      </c>
      <c r="M1077" s="1" t="str">
        <f t="shared" si="157"/>
        <v>-90</v>
      </c>
      <c r="N1077" s="1" t="str">
        <f>""</f>
        <v/>
      </c>
      <c r="O1077" s="1">
        <v>1</v>
      </c>
      <c r="P1077" s="1"/>
      <c r="Q1077" t="s">
        <v>319</v>
      </c>
    </row>
    <row r="1078" spans="1:17" x14ac:dyDescent="0.25">
      <c r="A1078" t="str">
        <f>"2018-10-15 20:15:50"</f>
        <v>2018-10-15 20:15:50</v>
      </c>
      <c r="B1078" s="1" t="str">
        <f>""</f>
        <v/>
      </c>
      <c r="C1078" s="4" t="str">
        <f>"Académie de Judo de Sept-Iles Inc."</f>
        <v>Académie de Judo de Sept-Iles Inc.</v>
      </c>
      <c r="D1078" s="4" t="str">
        <f>"QC"</f>
        <v>QC</v>
      </c>
      <c r="E1078" s="4" t="str">
        <f>"Quebec"</f>
        <v>Quebec</v>
      </c>
      <c r="F1078" s="4" t="str">
        <f>"Yohan"</f>
        <v>Yohan</v>
      </c>
      <c r="G1078" s="4" t="str">
        <f>"Chouinard"</f>
        <v>Chouinard</v>
      </c>
      <c r="H1078" s="4" t="str">
        <f>"0162636"</f>
        <v>0162636</v>
      </c>
      <c r="I1078" s="4" t="str">
        <f t="shared" si="154"/>
        <v>M</v>
      </c>
      <c r="J1078" s="5">
        <v>1999</v>
      </c>
      <c r="K1078" s="4" t="str">
        <f>"1D"</f>
        <v>1D</v>
      </c>
      <c r="L1078" s="4" t="s">
        <v>129</v>
      </c>
      <c r="M1078" s="4" t="str">
        <f>"-100"</f>
        <v>-100</v>
      </c>
      <c r="N1078" s="4" t="str">
        <f>""</f>
        <v/>
      </c>
      <c r="O1078" s="4">
        <v>2</v>
      </c>
      <c r="P1078" s="4" t="s">
        <v>131</v>
      </c>
      <c r="Q1078" t="s">
        <v>132</v>
      </c>
    </row>
    <row r="1079" spans="1:17" x14ac:dyDescent="0.25">
      <c r="B1079" s="1" t="str">
        <f>""</f>
        <v/>
      </c>
      <c r="C1079" s="1" t="str">
        <f>"Club de judo Shidokan inc."</f>
        <v>Club de judo Shidokan inc.</v>
      </c>
      <c r="D1079" s="1" t="str">
        <f>"QC"</f>
        <v>QC</v>
      </c>
      <c r="E1079" s="1" t="str">
        <f>"Quebec"</f>
        <v>Quebec</v>
      </c>
      <c r="F1079" s="1" t="str">
        <f>"Daniel"</f>
        <v>Daniel</v>
      </c>
      <c r="G1079" s="1" t="str">
        <f>"Chosack-Barkay"</f>
        <v>Chosack-Barkay</v>
      </c>
      <c r="H1079" s="1" t="str">
        <f>"0148155"</f>
        <v>0148155</v>
      </c>
      <c r="I1079" s="1" t="str">
        <f t="shared" si="154"/>
        <v>M</v>
      </c>
      <c r="J1079" s="1">
        <v>2000</v>
      </c>
      <c r="K1079" s="1" t="s">
        <v>110</v>
      </c>
      <c r="L1079" s="1" t="s">
        <v>320</v>
      </c>
      <c r="M1079" s="1" t="str">
        <f>"-73"</f>
        <v>-73</v>
      </c>
      <c r="N1079" s="1" t="str">
        <f>""</f>
        <v/>
      </c>
      <c r="O1079" s="1">
        <v>2</v>
      </c>
      <c r="P1079" s="1"/>
      <c r="Q1079" t="s">
        <v>317</v>
      </c>
    </row>
    <row r="1080" spans="1:17" x14ac:dyDescent="0.25">
      <c r="B1080" s="9" t="str">
        <f>""</f>
        <v/>
      </c>
      <c r="C1080" s="9" t="str">
        <f>"Universal Judo"</f>
        <v>Universal Judo</v>
      </c>
      <c r="D1080" s="1" t="s">
        <v>106</v>
      </c>
      <c r="E1080" s="9" t="s">
        <v>106</v>
      </c>
      <c r="F1080" s="9" t="str">
        <f>"Mariah"</f>
        <v>Mariah</v>
      </c>
      <c r="G1080" s="9" t="str">
        <f>"Holguin"</f>
        <v>Holguin</v>
      </c>
      <c r="H1080" s="9" t="str">
        <f>"AutreFederation"</f>
        <v>AutreFederation</v>
      </c>
      <c r="I1080" s="9" t="str">
        <f>"F"</f>
        <v>F</v>
      </c>
      <c r="J1080" s="9">
        <v>2000</v>
      </c>
      <c r="K1080" s="9" t="s">
        <v>33</v>
      </c>
      <c r="L1080" s="9" t="s">
        <v>321</v>
      </c>
      <c r="M1080" s="1" t="str">
        <f>"-57"</f>
        <v>-57</v>
      </c>
      <c r="N1080" s="9"/>
      <c r="O1080" s="9">
        <v>2</v>
      </c>
      <c r="P1080" s="9"/>
      <c r="Q1080" t="s">
        <v>310</v>
      </c>
    </row>
    <row r="1081" spans="1:17" x14ac:dyDescent="0.25">
      <c r="B1081" s="9" t="str">
        <f>""</f>
        <v/>
      </c>
      <c r="C1081" s="9" t="str">
        <f>"Universal Judo"</f>
        <v>Universal Judo</v>
      </c>
      <c r="D1081" s="1" t="s">
        <v>106</v>
      </c>
      <c r="E1081" s="9" t="str">
        <f>"USA"</f>
        <v>USA</v>
      </c>
      <c r="F1081" s="9" t="str">
        <f>"Katherine"</f>
        <v>Katherine</v>
      </c>
      <c r="G1081" s="9" t="str">
        <f>"Bernier"</f>
        <v>Bernier</v>
      </c>
      <c r="H1081" s="9" t="str">
        <f>"AutreFederation"</f>
        <v>AutreFederation</v>
      </c>
      <c r="I1081" s="9" t="str">
        <f>"F"</f>
        <v>F</v>
      </c>
      <c r="J1081" s="9">
        <v>1999</v>
      </c>
      <c r="K1081" s="9" t="str">
        <f>"1k"</f>
        <v>1k</v>
      </c>
      <c r="L1081" s="9" t="s">
        <v>321</v>
      </c>
      <c r="M1081" s="1" t="str">
        <f>"-63"</f>
        <v>-63</v>
      </c>
      <c r="N1081" s="9"/>
      <c r="O1081" s="9">
        <v>2</v>
      </c>
      <c r="P1081" s="9"/>
      <c r="Q1081" t="s">
        <v>313</v>
      </c>
    </row>
    <row r="1082" spans="1:17" x14ac:dyDescent="0.25">
      <c r="B1082" s="9" t="str">
        <f>""</f>
        <v/>
      </c>
      <c r="C1082" s="9" t="str">
        <f>"USA Judo"</f>
        <v>USA Judo</v>
      </c>
      <c r="D1082" s="1" t="s">
        <v>106</v>
      </c>
      <c r="E1082" s="9" t="s">
        <v>106</v>
      </c>
      <c r="F1082" s="9" t="str">
        <f>"Noran"</f>
        <v>Noran</v>
      </c>
      <c r="G1082" s="9" t="str">
        <f>"Elmahroukey"</f>
        <v>Elmahroukey</v>
      </c>
      <c r="H1082" s="9" t="str">
        <f>"AutreFederation"</f>
        <v>AutreFederation</v>
      </c>
      <c r="I1082" s="9" t="str">
        <f>"F"</f>
        <v>F</v>
      </c>
      <c r="J1082" s="9">
        <v>2002</v>
      </c>
      <c r="K1082" s="9" t="str">
        <f>"1D"</f>
        <v>1D</v>
      </c>
      <c r="L1082" s="9" t="s">
        <v>322</v>
      </c>
      <c r="M1082" s="9" t="str">
        <f>"-48"</f>
        <v>-48</v>
      </c>
      <c r="N1082" s="9"/>
      <c r="O1082" s="9">
        <v>2</v>
      </c>
      <c r="P1082" s="9"/>
    </row>
  </sheetData>
  <autoFilter ref="A1:XFC1082">
    <sortState ref="A2:S34">
      <sortCondition ref="Q1:Q1082"/>
    </sortState>
  </autoFilter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problemes</vt:lpstr>
      <vt:lpstr>Inscription traitees 29 oct</vt:lpstr>
      <vt:lpstr>'Inscription traitees 29 oct'!Zone_d_impression</vt:lpstr>
    </vt:vector>
  </TitlesOfParts>
  <Company>Judo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Jessika Therrien</dc:creator>
  <cp:lastModifiedBy>Jessika Therrien</cp:lastModifiedBy>
  <dcterms:created xsi:type="dcterms:W3CDTF">2018-10-30T02:43:11Z</dcterms:created>
  <dcterms:modified xsi:type="dcterms:W3CDTF">2018-10-30T02:51:22Z</dcterms:modified>
</cp:coreProperties>
</file>